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elif\Desktop\"/>
    </mc:Choice>
  </mc:AlternateContent>
  <bookViews>
    <workbookView xWindow="0" yWindow="36" windowWidth="15360" windowHeight="8208" tabRatio="869" firstSheet="4" activeTab="7"/>
  </bookViews>
  <sheets>
    <sheet name="COST" sheetId="1" r:id="rId1"/>
    <sheet name="BOX PLOTS" sheetId="21" r:id="rId2"/>
    <sheet name="Crane Pads" sheetId="2" r:id="rId3"/>
    <sheet name="Foundations" sheetId="11" r:id="rId4"/>
    <sheet name="Substation-civil" sheetId="12" r:id="rId5"/>
    <sheet name="Road Construction" sheetId="13" r:id="rId6"/>
    <sheet name="Road Upgrade" sheetId="14" r:id="rId7"/>
    <sheet name="Cabling to substation" sheetId="15" r:id="rId8"/>
    <sheet name="Cabling to grid" sheetId="16" r:id="rId9"/>
    <sheet name="Point of connection" sheetId="17" r:id="rId10"/>
    <sheet name="SCADA" sheetId="18" r:id="rId11"/>
    <sheet name="Substation-electrical" sheetId="19" r:id="rId12"/>
    <sheet name="Transformers" sheetId="20" r:id="rId13"/>
  </sheets>
  <calcPr calcId="152511"/>
</workbook>
</file>

<file path=xl/calcChain.xml><?xml version="1.0" encoding="utf-8"?>
<calcChain xmlns="http://schemas.openxmlformats.org/spreadsheetml/2006/main">
  <c r="L49" i="21" l="1"/>
  <c r="K49" i="21"/>
  <c r="J49" i="21"/>
  <c r="I49" i="21"/>
  <c r="H49" i="21"/>
  <c r="G49" i="21"/>
  <c r="F49" i="21"/>
  <c r="E49" i="21"/>
  <c r="D49" i="21"/>
  <c r="C49" i="21"/>
  <c r="B49" i="21"/>
  <c r="F52" i="20" l="1"/>
  <c r="L97" i="21" s="1"/>
  <c r="F51" i="20"/>
  <c r="L96" i="21" s="1"/>
  <c r="F50" i="20"/>
  <c r="L95" i="21" s="1"/>
  <c r="F49" i="20"/>
  <c r="L94" i="21" s="1"/>
  <c r="F48" i="20"/>
  <c r="L93" i="21" s="1"/>
  <c r="F47" i="20"/>
  <c r="L92" i="21" s="1"/>
  <c r="F46" i="20"/>
  <c r="L91" i="21" s="1"/>
  <c r="F45" i="20"/>
  <c r="L90" i="21" s="1"/>
  <c r="F44" i="20"/>
  <c r="L89" i="21" s="1"/>
  <c r="F43" i="20"/>
  <c r="L88" i="21" s="1"/>
  <c r="F42" i="20"/>
  <c r="L87" i="21" s="1"/>
  <c r="F41" i="20"/>
  <c r="L86" i="21" s="1"/>
  <c r="F40" i="20"/>
  <c r="L85" i="21" s="1"/>
  <c r="F39" i="20"/>
  <c r="L84" i="21" s="1"/>
  <c r="F38" i="20"/>
  <c r="L83" i="21" s="1"/>
  <c r="F37" i="20"/>
  <c r="L82" i="21" s="1"/>
  <c r="F36" i="20"/>
  <c r="L81" i="21" s="1"/>
  <c r="F35" i="20"/>
  <c r="L80" i="21" s="1"/>
  <c r="F34" i="20"/>
  <c r="L79" i="21" s="1"/>
  <c r="F33" i="20"/>
  <c r="L78" i="21" s="1"/>
  <c r="F32" i="20"/>
  <c r="L77" i="21" s="1"/>
  <c r="F31" i="20"/>
  <c r="L76" i="21" s="1"/>
  <c r="F30" i="20"/>
  <c r="L75" i="21" s="1"/>
  <c r="F29" i="20"/>
  <c r="L74" i="21" s="1"/>
  <c r="F28" i="20"/>
  <c r="L73" i="21" s="1"/>
  <c r="F27" i="20"/>
  <c r="L72" i="21" s="1"/>
  <c r="F26" i="20"/>
  <c r="L71" i="21" s="1"/>
  <c r="F25" i="20"/>
  <c r="L70" i="21" s="1"/>
  <c r="F24" i="20"/>
  <c r="L69" i="21" s="1"/>
  <c r="F23" i="20"/>
  <c r="L68" i="21" s="1"/>
  <c r="F22" i="20"/>
  <c r="L67" i="21" s="1"/>
  <c r="F21" i="20"/>
  <c r="L66" i="21" s="1"/>
  <c r="F20" i="20"/>
  <c r="L65" i="21" s="1"/>
  <c r="F19" i="20"/>
  <c r="L64" i="21" s="1"/>
  <c r="F18" i="20"/>
  <c r="L63" i="21" s="1"/>
  <c r="F17" i="20"/>
  <c r="L62" i="21" s="1"/>
  <c r="F16" i="20"/>
  <c r="L61" i="21" s="1"/>
  <c r="F15" i="20"/>
  <c r="L60" i="21" s="1"/>
  <c r="F14" i="20"/>
  <c r="L59" i="21" s="1"/>
  <c r="F13" i="20"/>
  <c r="L58" i="21" s="1"/>
  <c r="F12" i="20"/>
  <c r="L57" i="21" s="1"/>
  <c r="F11" i="20"/>
  <c r="L56" i="21" s="1"/>
  <c r="F10" i="20"/>
  <c r="L55" i="21" s="1"/>
  <c r="F9" i="20"/>
  <c r="L54" i="21" s="1"/>
  <c r="F8" i="20"/>
  <c r="L53" i="21" s="1"/>
  <c r="D52" i="19"/>
  <c r="K97" i="21" s="1"/>
  <c r="D51" i="19"/>
  <c r="K96" i="21" s="1"/>
  <c r="D50" i="19"/>
  <c r="K95" i="21" s="1"/>
  <c r="D49" i="19"/>
  <c r="K94" i="21" s="1"/>
  <c r="D48" i="19"/>
  <c r="K93" i="21" s="1"/>
  <c r="D47" i="19"/>
  <c r="K92" i="21" s="1"/>
  <c r="D46" i="19"/>
  <c r="K91" i="21" s="1"/>
  <c r="D45" i="19"/>
  <c r="K90" i="21" s="1"/>
  <c r="D44" i="19"/>
  <c r="K89" i="21" s="1"/>
  <c r="D43" i="19"/>
  <c r="K88" i="21" s="1"/>
  <c r="D42" i="19"/>
  <c r="K87" i="21" s="1"/>
  <c r="D41" i="19"/>
  <c r="K86" i="21" s="1"/>
  <c r="D40" i="19"/>
  <c r="K85" i="21" s="1"/>
  <c r="D39" i="19"/>
  <c r="K84" i="21" s="1"/>
  <c r="D38" i="19"/>
  <c r="K83" i="21" s="1"/>
  <c r="D37" i="19"/>
  <c r="K82" i="21" s="1"/>
  <c r="D36" i="19"/>
  <c r="K81" i="21" s="1"/>
  <c r="D35" i="19"/>
  <c r="K80" i="21" s="1"/>
  <c r="D34" i="19"/>
  <c r="K79" i="21" s="1"/>
  <c r="D33" i="19"/>
  <c r="K78" i="21" s="1"/>
  <c r="D32" i="19"/>
  <c r="K77" i="21" s="1"/>
  <c r="D31" i="19"/>
  <c r="K76" i="21" s="1"/>
  <c r="D30" i="19"/>
  <c r="K75" i="21" s="1"/>
  <c r="D29" i="19"/>
  <c r="K74" i="21" s="1"/>
  <c r="D28" i="19"/>
  <c r="K73" i="21" s="1"/>
  <c r="D27" i="19"/>
  <c r="K72" i="21" s="1"/>
  <c r="D26" i="19"/>
  <c r="K71" i="21" s="1"/>
  <c r="D25" i="19"/>
  <c r="K70" i="21" s="1"/>
  <c r="D24" i="19"/>
  <c r="K69" i="21" s="1"/>
  <c r="D23" i="19"/>
  <c r="K68" i="21" s="1"/>
  <c r="D22" i="19"/>
  <c r="K67" i="21" s="1"/>
  <c r="D21" i="19"/>
  <c r="K66" i="21" s="1"/>
  <c r="D20" i="19"/>
  <c r="K65" i="21" s="1"/>
  <c r="D19" i="19"/>
  <c r="K64" i="21" s="1"/>
  <c r="D18" i="19"/>
  <c r="K63" i="21" s="1"/>
  <c r="D17" i="19"/>
  <c r="K62" i="21" s="1"/>
  <c r="D16" i="19"/>
  <c r="K61" i="21" s="1"/>
  <c r="D15" i="19"/>
  <c r="K60" i="21" s="1"/>
  <c r="D14" i="19"/>
  <c r="K59" i="21" s="1"/>
  <c r="D13" i="19"/>
  <c r="K58" i="21" s="1"/>
  <c r="D15" i="18"/>
  <c r="J60" i="21" s="1"/>
  <c r="D16" i="18"/>
  <c r="J61" i="21" s="1"/>
  <c r="D17" i="18"/>
  <c r="J62" i="21" s="1"/>
  <c r="D18" i="18"/>
  <c r="J63" i="21" s="1"/>
  <c r="D19" i="18"/>
  <c r="J64" i="21" s="1"/>
  <c r="D20" i="18"/>
  <c r="J65" i="21" s="1"/>
  <c r="D21" i="18"/>
  <c r="J66" i="21" s="1"/>
  <c r="D22" i="18"/>
  <c r="J67" i="21" s="1"/>
  <c r="D23" i="18"/>
  <c r="J68" i="21" s="1"/>
  <c r="D24" i="18"/>
  <c r="J69" i="21" s="1"/>
  <c r="D25" i="18"/>
  <c r="J70" i="21" s="1"/>
  <c r="D26" i="18"/>
  <c r="J71" i="21" s="1"/>
  <c r="D27" i="18"/>
  <c r="J72" i="21" s="1"/>
  <c r="D28" i="18"/>
  <c r="J73" i="21" s="1"/>
  <c r="D29" i="18"/>
  <c r="J74" i="21" s="1"/>
  <c r="D30" i="18"/>
  <c r="J75" i="21" s="1"/>
  <c r="D31" i="18"/>
  <c r="J76" i="21" s="1"/>
  <c r="D32" i="18"/>
  <c r="J77" i="21" s="1"/>
  <c r="D33" i="18"/>
  <c r="J78" i="21" s="1"/>
  <c r="D34" i="18"/>
  <c r="J79" i="21" s="1"/>
  <c r="D35" i="18"/>
  <c r="J80" i="21" s="1"/>
  <c r="D36" i="18"/>
  <c r="J81" i="21" s="1"/>
  <c r="D37" i="18"/>
  <c r="J82" i="21" s="1"/>
  <c r="D38" i="18"/>
  <c r="J83" i="21" s="1"/>
  <c r="D39" i="18"/>
  <c r="J84" i="21" s="1"/>
  <c r="D40" i="18"/>
  <c r="J85" i="21" s="1"/>
  <c r="D41" i="18"/>
  <c r="J86" i="21" s="1"/>
  <c r="D42" i="18"/>
  <c r="J87" i="21" s="1"/>
  <c r="D43" i="18"/>
  <c r="J88" i="21" s="1"/>
  <c r="D44" i="18"/>
  <c r="J89" i="21" s="1"/>
  <c r="D45" i="18"/>
  <c r="J90" i="21" s="1"/>
  <c r="D46" i="18"/>
  <c r="J91" i="21" s="1"/>
  <c r="D47" i="18"/>
  <c r="J92" i="21" s="1"/>
  <c r="D48" i="18"/>
  <c r="J93" i="21" s="1"/>
  <c r="D49" i="18"/>
  <c r="J94" i="21" s="1"/>
  <c r="D50" i="18"/>
  <c r="J95" i="21" s="1"/>
  <c r="D51" i="18"/>
  <c r="J96" i="21" s="1"/>
  <c r="D52" i="18"/>
  <c r="J97" i="21" s="1"/>
  <c r="D9" i="17"/>
  <c r="I54" i="21" s="1"/>
  <c r="D10" i="17"/>
  <c r="I55" i="21" s="1"/>
  <c r="D11" i="17"/>
  <c r="I56" i="21" s="1"/>
  <c r="D12" i="17"/>
  <c r="I57" i="21" s="1"/>
  <c r="D13" i="17"/>
  <c r="I58" i="21" s="1"/>
  <c r="D14" i="17"/>
  <c r="I59" i="21" s="1"/>
  <c r="D15" i="17"/>
  <c r="I60" i="21" s="1"/>
  <c r="D16" i="17"/>
  <c r="I61" i="21" s="1"/>
  <c r="D17" i="17"/>
  <c r="I62" i="21" s="1"/>
  <c r="D18" i="17"/>
  <c r="I63" i="21" s="1"/>
  <c r="D19" i="17"/>
  <c r="I64" i="21" s="1"/>
  <c r="D20" i="17"/>
  <c r="I65" i="21" s="1"/>
  <c r="D21" i="17"/>
  <c r="I66" i="21" s="1"/>
  <c r="D22" i="17"/>
  <c r="I67" i="21" s="1"/>
  <c r="D23" i="17"/>
  <c r="I68" i="21" s="1"/>
  <c r="D24" i="17"/>
  <c r="I69" i="21" s="1"/>
  <c r="D25" i="17"/>
  <c r="I70" i="21" s="1"/>
  <c r="D26" i="17"/>
  <c r="I71" i="21" s="1"/>
  <c r="D27" i="17"/>
  <c r="I72" i="21" s="1"/>
  <c r="D28" i="17"/>
  <c r="I73" i="21" s="1"/>
  <c r="D29" i="17"/>
  <c r="I74" i="21" s="1"/>
  <c r="D30" i="17"/>
  <c r="I75" i="21" s="1"/>
  <c r="D31" i="17"/>
  <c r="I76" i="21" s="1"/>
  <c r="D32" i="17"/>
  <c r="I77" i="21" s="1"/>
  <c r="D33" i="17"/>
  <c r="I78" i="21" s="1"/>
  <c r="D34" i="17"/>
  <c r="I79" i="21" s="1"/>
  <c r="D35" i="17"/>
  <c r="I80" i="21" s="1"/>
  <c r="D36" i="17"/>
  <c r="I81" i="21" s="1"/>
  <c r="D37" i="17"/>
  <c r="I82" i="21" s="1"/>
  <c r="D38" i="17"/>
  <c r="I83" i="21" s="1"/>
  <c r="D39" i="17"/>
  <c r="I84" i="21" s="1"/>
  <c r="D40" i="17"/>
  <c r="I85" i="21" s="1"/>
  <c r="D41" i="17"/>
  <c r="I86" i="21" s="1"/>
  <c r="D42" i="17"/>
  <c r="I87" i="21" s="1"/>
  <c r="D43" i="17"/>
  <c r="I88" i="21" s="1"/>
  <c r="D44" i="17"/>
  <c r="I89" i="21" s="1"/>
  <c r="D45" i="17"/>
  <c r="I90" i="21" s="1"/>
  <c r="D46" i="17"/>
  <c r="I91" i="21" s="1"/>
  <c r="D47" i="17"/>
  <c r="I92" i="21" s="1"/>
  <c r="D48" i="17"/>
  <c r="I93" i="21" s="1"/>
  <c r="D49" i="17"/>
  <c r="I94" i="21" s="1"/>
  <c r="D50" i="17"/>
  <c r="I95" i="21" s="1"/>
  <c r="D51" i="17"/>
  <c r="I96" i="21" s="1"/>
  <c r="D52" i="17"/>
  <c r="I97" i="21" s="1"/>
  <c r="F27" i="16"/>
  <c r="H72" i="21" s="1"/>
  <c r="F28" i="16"/>
  <c r="H73" i="21" s="1"/>
  <c r="F29" i="16"/>
  <c r="H74" i="21" s="1"/>
  <c r="F30" i="16"/>
  <c r="H75" i="21" s="1"/>
  <c r="F31" i="16"/>
  <c r="H76" i="21" s="1"/>
  <c r="F32" i="16"/>
  <c r="H77" i="21" s="1"/>
  <c r="F33" i="16"/>
  <c r="H78" i="21" s="1"/>
  <c r="F34" i="16"/>
  <c r="H79" i="21" s="1"/>
  <c r="F35" i="16"/>
  <c r="H80" i="21" s="1"/>
  <c r="F36" i="16"/>
  <c r="H81" i="21" s="1"/>
  <c r="F37" i="16"/>
  <c r="H82" i="21" s="1"/>
  <c r="F38" i="16"/>
  <c r="H83" i="21" s="1"/>
  <c r="F39" i="16"/>
  <c r="H84" i="21" s="1"/>
  <c r="F40" i="16"/>
  <c r="H85" i="21" s="1"/>
  <c r="F41" i="16"/>
  <c r="H86" i="21" s="1"/>
  <c r="F42" i="16"/>
  <c r="H87" i="21" s="1"/>
  <c r="F43" i="16"/>
  <c r="H88" i="21" s="1"/>
  <c r="F44" i="16"/>
  <c r="H89" i="21" s="1"/>
  <c r="F45" i="16"/>
  <c r="H90" i="21" s="1"/>
  <c r="F46" i="16"/>
  <c r="H91" i="21" s="1"/>
  <c r="F47" i="16"/>
  <c r="H92" i="21" s="1"/>
  <c r="F48" i="16"/>
  <c r="H93" i="21" s="1"/>
  <c r="F49" i="16"/>
  <c r="H94" i="21" s="1"/>
  <c r="F50" i="16"/>
  <c r="H95" i="21" s="1"/>
  <c r="F51" i="16"/>
  <c r="H96" i="21" s="1"/>
  <c r="F52" i="16"/>
  <c r="H97" i="21" s="1"/>
  <c r="F15" i="15"/>
  <c r="G60" i="21" s="1"/>
  <c r="F16" i="15"/>
  <c r="G61" i="21" s="1"/>
  <c r="F17" i="15"/>
  <c r="G62" i="21" s="1"/>
  <c r="F18" i="15"/>
  <c r="G63" i="21" s="1"/>
  <c r="F19" i="15"/>
  <c r="G64" i="21" s="1"/>
  <c r="F20" i="15"/>
  <c r="G65" i="21" s="1"/>
  <c r="F21" i="15"/>
  <c r="G66" i="21" s="1"/>
  <c r="F22" i="15"/>
  <c r="G67" i="21" s="1"/>
  <c r="F23" i="15"/>
  <c r="G68" i="21" s="1"/>
  <c r="F24" i="15"/>
  <c r="G69" i="21" s="1"/>
  <c r="F25" i="15"/>
  <c r="G70" i="21" s="1"/>
  <c r="F26" i="15"/>
  <c r="G71" i="21" s="1"/>
  <c r="F27" i="15"/>
  <c r="G72" i="21" s="1"/>
  <c r="F28" i="15"/>
  <c r="G73" i="21" s="1"/>
  <c r="F29" i="15"/>
  <c r="G74" i="21" s="1"/>
  <c r="F30" i="15"/>
  <c r="G75" i="21" s="1"/>
  <c r="F31" i="15"/>
  <c r="G76" i="21" s="1"/>
  <c r="F32" i="15"/>
  <c r="G77" i="21" s="1"/>
  <c r="F33" i="15"/>
  <c r="G78" i="21" s="1"/>
  <c r="F34" i="15"/>
  <c r="G79" i="21" s="1"/>
  <c r="F35" i="15"/>
  <c r="G80" i="21" s="1"/>
  <c r="F36" i="15"/>
  <c r="G81" i="21" s="1"/>
  <c r="F37" i="15"/>
  <c r="G82" i="21" s="1"/>
  <c r="F38" i="15"/>
  <c r="G83" i="21" s="1"/>
  <c r="F39" i="15"/>
  <c r="G84" i="21" s="1"/>
  <c r="F40" i="15"/>
  <c r="G85" i="21" s="1"/>
  <c r="F41" i="15"/>
  <c r="G86" i="21" s="1"/>
  <c r="F42" i="15"/>
  <c r="G87" i="21" s="1"/>
  <c r="F43" i="15"/>
  <c r="G88" i="21" s="1"/>
  <c r="F44" i="15"/>
  <c r="G89" i="21" s="1"/>
  <c r="F45" i="15"/>
  <c r="G90" i="21" s="1"/>
  <c r="F46" i="15"/>
  <c r="G91" i="21" s="1"/>
  <c r="F47" i="15"/>
  <c r="G92" i="21" s="1"/>
  <c r="F48" i="15"/>
  <c r="G93" i="21" s="1"/>
  <c r="F49" i="15"/>
  <c r="G94" i="21" s="1"/>
  <c r="F50" i="15"/>
  <c r="G95" i="21" s="1"/>
  <c r="F51" i="15"/>
  <c r="G96" i="21" s="1"/>
  <c r="F52" i="15"/>
  <c r="G97" i="21" s="1"/>
  <c r="F13" i="15"/>
  <c r="G58" i="21" s="1"/>
  <c r="F14" i="15"/>
  <c r="G59" i="21" s="1"/>
  <c r="F11" i="13" l="1"/>
  <c r="E56" i="21" s="1"/>
  <c r="F12" i="13"/>
  <c r="E57" i="21" s="1"/>
  <c r="F13" i="13"/>
  <c r="E58" i="21" s="1"/>
  <c r="F14" i="13"/>
  <c r="E59" i="21" s="1"/>
  <c r="F15" i="13"/>
  <c r="E60" i="21" s="1"/>
  <c r="F16" i="13"/>
  <c r="E61" i="21" s="1"/>
  <c r="F17" i="13"/>
  <c r="E62" i="21" s="1"/>
  <c r="F18" i="13"/>
  <c r="E63" i="21" s="1"/>
  <c r="F19" i="13"/>
  <c r="E64" i="21" s="1"/>
  <c r="F20" i="13"/>
  <c r="E65" i="21" s="1"/>
  <c r="F21" i="13"/>
  <c r="E66" i="21" s="1"/>
  <c r="F22" i="13"/>
  <c r="E67" i="21" s="1"/>
  <c r="F23" i="13"/>
  <c r="E68" i="21" s="1"/>
  <c r="F24" i="13"/>
  <c r="E69" i="21" s="1"/>
  <c r="F25" i="13"/>
  <c r="E70" i="21" s="1"/>
  <c r="F26" i="13"/>
  <c r="E71" i="21" s="1"/>
  <c r="F27" i="13"/>
  <c r="E72" i="21" s="1"/>
  <c r="F28" i="13"/>
  <c r="E73" i="21" s="1"/>
  <c r="F29" i="13"/>
  <c r="E74" i="21" s="1"/>
  <c r="F30" i="13"/>
  <c r="E75" i="21" s="1"/>
  <c r="F31" i="13"/>
  <c r="E76" i="21" s="1"/>
  <c r="F32" i="13"/>
  <c r="E77" i="21" s="1"/>
  <c r="F33" i="13"/>
  <c r="E78" i="21" s="1"/>
  <c r="F34" i="13"/>
  <c r="E79" i="21" s="1"/>
  <c r="F35" i="13"/>
  <c r="E80" i="21" s="1"/>
  <c r="F36" i="13"/>
  <c r="E81" i="21" s="1"/>
  <c r="F37" i="13"/>
  <c r="E82" i="21" s="1"/>
  <c r="F38" i="13"/>
  <c r="E83" i="21" s="1"/>
  <c r="F39" i="13"/>
  <c r="E84" i="21" s="1"/>
  <c r="F40" i="13"/>
  <c r="E85" i="21" s="1"/>
  <c r="F41" i="13"/>
  <c r="E86" i="21" s="1"/>
  <c r="F42" i="13"/>
  <c r="E87" i="21" s="1"/>
  <c r="F43" i="13"/>
  <c r="E88" i="21" s="1"/>
  <c r="F44" i="13"/>
  <c r="E89" i="21" s="1"/>
  <c r="F45" i="13"/>
  <c r="E90" i="21" s="1"/>
  <c r="F46" i="13"/>
  <c r="E91" i="21" s="1"/>
  <c r="F47" i="13"/>
  <c r="E92" i="21" s="1"/>
  <c r="F48" i="13"/>
  <c r="E93" i="21" s="1"/>
  <c r="F49" i="13"/>
  <c r="E94" i="21" s="1"/>
  <c r="F50" i="13"/>
  <c r="E95" i="21" s="1"/>
  <c r="F51" i="13"/>
  <c r="E96" i="21" s="1"/>
  <c r="F52" i="13"/>
  <c r="E97" i="21" s="1"/>
  <c r="F10" i="14"/>
  <c r="F55" i="21" s="1"/>
  <c r="F11" i="14"/>
  <c r="F56" i="21" s="1"/>
  <c r="F12" i="14"/>
  <c r="F57" i="21" s="1"/>
  <c r="F13" i="14"/>
  <c r="F58" i="21" s="1"/>
  <c r="F14" i="14"/>
  <c r="F59" i="21" s="1"/>
  <c r="F15" i="14"/>
  <c r="F60" i="21" s="1"/>
  <c r="F16" i="14"/>
  <c r="F61" i="21" s="1"/>
  <c r="F17" i="14"/>
  <c r="F62" i="21" s="1"/>
  <c r="F18" i="14"/>
  <c r="F63" i="21" s="1"/>
  <c r="F19" i="14"/>
  <c r="F64" i="21" s="1"/>
  <c r="F20" i="14"/>
  <c r="F65" i="21" s="1"/>
  <c r="F21" i="14"/>
  <c r="F66" i="21" s="1"/>
  <c r="F22" i="14"/>
  <c r="F67" i="21" s="1"/>
  <c r="F23" i="14"/>
  <c r="F68" i="21" s="1"/>
  <c r="F24" i="14"/>
  <c r="F69" i="21" s="1"/>
  <c r="F25" i="14"/>
  <c r="F70" i="21" s="1"/>
  <c r="F26" i="14"/>
  <c r="F71" i="21" s="1"/>
  <c r="F27" i="14"/>
  <c r="F72" i="21" s="1"/>
  <c r="F28" i="14"/>
  <c r="F73" i="21" s="1"/>
  <c r="F29" i="14"/>
  <c r="F74" i="21" s="1"/>
  <c r="F30" i="14"/>
  <c r="F75" i="21" s="1"/>
  <c r="F31" i="14"/>
  <c r="F76" i="21" s="1"/>
  <c r="F32" i="14"/>
  <c r="F77" i="21" s="1"/>
  <c r="F33" i="14"/>
  <c r="F78" i="21" s="1"/>
  <c r="F34" i="14"/>
  <c r="F79" i="21" s="1"/>
  <c r="F35" i="14"/>
  <c r="F80" i="21" s="1"/>
  <c r="F36" i="14"/>
  <c r="F81" i="21" s="1"/>
  <c r="F37" i="14"/>
  <c r="F82" i="21" s="1"/>
  <c r="F38" i="14"/>
  <c r="F83" i="21" s="1"/>
  <c r="F39" i="14"/>
  <c r="F84" i="21" s="1"/>
  <c r="F40" i="14"/>
  <c r="F85" i="21" s="1"/>
  <c r="F41" i="14"/>
  <c r="F86" i="21" s="1"/>
  <c r="F42" i="14"/>
  <c r="F87" i="21" s="1"/>
  <c r="F43" i="14"/>
  <c r="F88" i="21" s="1"/>
  <c r="F44" i="14"/>
  <c r="F89" i="21" s="1"/>
  <c r="F45" i="14"/>
  <c r="F90" i="21" s="1"/>
  <c r="F46" i="14"/>
  <c r="F91" i="21" s="1"/>
  <c r="F47" i="14"/>
  <c r="F92" i="21" s="1"/>
  <c r="F48" i="14"/>
  <c r="F93" i="21" s="1"/>
  <c r="F49" i="14"/>
  <c r="F94" i="21" s="1"/>
  <c r="F50" i="14"/>
  <c r="F95" i="21" s="1"/>
  <c r="F51" i="14"/>
  <c r="F96" i="21" s="1"/>
  <c r="F52" i="14"/>
  <c r="F97" i="21" s="1"/>
  <c r="D12" i="12"/>
  <c r="D57" i="21" s="1"/>
  <c r="D13" i="12"/>
  <c r="D58" i="21" s="1"/>
  <c r="D14" i="12"/>
  <c r="D59" i="21" s="1"/>
  <c r="D15" i="12"/>
  <c r="D60" i="21" s="1"/>
  <c r="D16" i="12"/>
  <c r="D61" i="21" s="1"/>
  <c r="D17" i="12"/>
  <c r="D62" i="21" s="1"/>
  <c r="D18" i="12"/>
  <c r="D63" i="21" s="1"/>
  <c r="D19" i="12"/>
  <c r="D64" i="21" s="1"/>
  <c r="D20" i="12"/>
  <c r="D65" i="21" s="1"/>
  <c r="D21" i="12"/>
  <c r="D66" i="21" s="1"/>
  <c r="D22" i="12"/>
  <c r="D67" i="21" s="1"/>
  <c r="D23" i="12"/>
  <c r="D68" i="21" s="1"/>
  <c r="D24" i="12"/>
  <c r="D69" i="21" s="1"/>
  <c r="D25" i="12"/>
  <c r="D70" i="21" s="1"/>
  <c r="D26" i="12"/>
  <c r="D71" i="21" s="1"/>
  <c r="D27" i="12"/>
  <c r="D72" i="21" s="1"/>
  <c r="D28" i="12"/>
  <c r="D73" i="21" s="1"/>
  <c r="D29" i="12"/>
  <c r="D74" i="21" s="1"/>
  <c r="D30" i="12"/>
  <c r="D75" i="21" s="1"/>
  <c r="D31" i="12"/>
  <c r="D76" i="21" s="1"/>
  <c r="D32" i="12"/>
  <c r="D77" i="21" s="1"/>
  <c r="D33" i="12"/>
  <c r="D78" i="21" s="1"/>
  <c r="D34" i="12"/>
  <c r="D79" i="21" s="1"/>
  <c r="D35" i="12"/>
  <c r="D80" i="21" s="1"/>
  <c r="D36" i="12"/>
  <c r="D81" i="21" s="1"/>
  <c r="D37" i="12"/>
  <c r="D82" i="21" s="1"/>
  <c r="D38" i="12"/>
  <c r="D83" i="21" s="1"/>
  <c r="D39" i="12"/>
  <c r="D84" i="21" s="1"/>
  <c r="D40" i="12"/>
  <c r="D85" i="21" s="1"/>
  <c r="D41" i="12"/>
  <c r="D86" i="21" s="1"/>
  <c r="D42" i="12"/>
  <c r="D87" i="21" s="1"/>
  <c r="D43" i="12"/>
  <c r="D88" i="21" s="1"/>
  <c r="D44" i="12"/>
  <c r="D89" i="21" s="1"/>
  <c r="D45" i="12"/>
  <c r="D90" i="21" s="1"/>
  <c r="D46" i="12"/>
  <c r="D91" i="21" s="1"/>
  <c r="D47" i="12"/>
  <c r="D92" i="21" s="1"/>
  <c r="D48" i="12"/>
  <c r="D93" i="21" s="1"/>
  <c r="D49" i="12"/>
  <c r="D94" i="21" s="1"/>
  <c r="D50" i="12"/>
  <c r="D95" i="21" s="1"/>
  <c r="D51" i="12"/>
  <c r="D96" i="21" s="1"/>
  <c r="D52" i="12"/>
  <c r="D97" i="21" s="1"/>
  <c r="F52" i="11"/>
  <c r="C97" i="21" s="1"/>
  <c r="F51" i="11"/>
  <c r="C96" i="21" s="1"/>
  <c r="F50" i="11"/>
  <c r="C95" i="21" s="1"/>
  <c r="F49" i="11"/>
  <c r="C94" i="21" s="1"/>
  <c r="F48" i="11"/>
  <c r="C93" i="21" s="1"/>
  <c r="F47" i="11"/>
  <c r="C92" i="21" s="1"/>
  <c r="F46" i="11"/>
  <c r="C91" i="21" s="1"/>
  <c r="F45" i="11"/>
  <c r="C90" i="21" s="1"/>
  <c r="F44" i="11"/>
  <c r="C89" i="21" s="1"/>
  <c r="F43" i="11"/>
  <c r="C88" i="21" s="1"/>
  <c r="F42" i="11"/>
  <c r="C87" i="21" s="1"/>
  <c r="F41" i="11"/>
  <c r="C86" i="21" s="1"/>
  <c r="F40" i="11"/>
  <c r="C85" i="21" s="1"/>
  <c r="F39" i="11"/>
  <c r="C84" i="21" s="1"/>
  <c r="F38" i="11"/>
  <c r="C83" i="21" s="1"/>
  <c r="F37" i="11"/>
  <c r="C82" i="21" s="1"/>
  <c r="F36" i="11"/>
  <c r="C81" i="21" s="1"/>
  <c r="F35" i="11"/>
  <c r="C80" i="21" s="1"/>
  <c r="F34" i="11"/>
  <c r="C79" i="21" s="1"/>
  <c r="F33" i="11"/>
  <c r="C78" i="21" s="1"/>
  <c r="F32" i="11"/>
  <c r="C77" i="21" s="1"/>
  <c r="F31" i="11"/>
  <c r="C76" i="21" s="1"/>
  <c r="F30" i="11"/>
  <c r="C75" i="21" s="1"/>
  <c r="F29" i="11"/>
  <c r="C74" i="21" s="1"/>
  <c r="F28" i="11"/>
  <c r="C73" i="21" s="1"/>
  <c r="F27" i="11"/>
  <c r="C72" i="21" s="1"/>
  <c r="F26" i="11"/>
  <c r="C71" i="21" s="1"/>
  <c r="F25" i="11"/>
  <c r="C70" i="21" s="1"/>
  <c r="F24" i="11"/>
  <c r="C69" i="21" s="1"/>
  <c r="F23" i="11"/>
  <c r="C68" i="21" s="1"/>
  <c r="F22" i="11"/>
  <c r="C67" i="21" s="1"/>
  <c r="F21" i="11"/>
  <c r="C66" i="21" s="1"/>
  <c r="F20" i="11"/>
  <c r="C65" i="21" s="1"/>
  <c r="F19" i="11"/>
  <c r="C64" i="21" s="1"/>
  <c r="F18" i="11"/>
  <c r="C63" i="21" s="1"/>
  <c r="F17" i="11"/>
  <c r="C62" i="21" s="1"/>
  <c r="F16" i="11"/>
  <c r="C61" i="21" s="1"/>
  <c r="F15" i="11"/>
  <c r="C60" i="21" s="1"/>
  <c r="F14" i="11"/>
  <c r="C59" i="21" s="1"/>
  <c r="F13" i="11"/>
  <c r="C58" i="21" s="1"/>
  <c r="F12" i="11"/>
  <c r="C57" i="21" s="1"/>
  <c r="F13" i="2"/>
  <c r="B58" i="21" s="1"/>
  <c r="F14" i="2"/>
  <c r="B59" i="21" s="1"/>
  <c r="F15" i="2"/>
  <c r="B60" i="21" s="1"/>
  <c r="F16" i="2"/>
  <c r="B61" i="21" s="1"/>
  <c r="F17" i="2"/>
  <c r="B62" i="21" s="1"/>
  <c r="F18" i="2"/>
  <c r="B63" i="21" s="1"/>
  <c r="F19" i="2"/>
  <c r="B64" i="21" s="1"/>
  <c r="F20" i="2"/>
  <c r="B65" i="21" s="1"/>
  <c r="F21" i="2"/>
  <c r="B66" i="21" s="1"/>
  <c r="F22" i="2"/>
  <c r="B67" i="21" s="1"/>
  <c r="F23" i="2"/>
  <c r="B68" i="21" s="1"/>
  <c r="F24" i="2"/>
  <c r="B69" i="21" s="1"/>
  <c r="F25" i="2"/>
  <c r="B70" i="21" s="1"/>
  <c r="F26" i="2"/>
  <c r="B71" i="21" s="1"/>
  <c r="F27" i="2"/>
  <c r="B72" i="21" s="1"/>
  <c r="F28" i="2"/>
  <c r="B73" i="21" s="1"/>
  <c r="F29" i="2"/>
  <c r="B74" i="21" s="1"/>
  <c r="F30" i="2"/>
  <c r="B75" i="21" s="1"/>
  <c r="F31" i="2"/>
  <c r="B76" i="21" s="1"/>
  <c r="F32" i="2"/>
  <c r="B77" i="21" s="1"/>
  <c r="F33" i="2"/>
  <c r="B78" i="21" s="1"/>
  <c r="F34" i="2"/>
  <c r="B79" i="21" s="1"/>
  <c r="F35" i="2"/>
  <c r="B80" i="21" s="1"/>
  <c r="F36" i="2"/>
  <c r="B81" i="21" s="1"/>
  <c r="F37" i="2"/>
  <c r="B82" i="21" s="1"/>
  <c r="F38" i="2"/>
  <c r="B83" i="21" s="1"/>
  <c r="F39" i="2"/>
  <c r="B84" i="21" s="1"/>
  <c r="F40" i="2"/>
  <c r="B85" i="21" s="1"/>
  <c r="F41" i="2"/>
  <c r="B86" i="21" s="1"/>
  <c r="F42" i="2"/>
  <c r="B87" i="21" s="1"/>
  <c r="F43" i="2"/>
  <c r="B88" i="21" s="1"/>
  <c r="F44" i="2"/>
  <c r="B89" i="21" s="1"/>
  <c r="F45" i="2"/>
  <c r="B90" i="21" s="1"/>
  <c r="F46" i="2"/>
  <c r="B91" i="21" s="1"/>
  <c r="F47" i="2"/>
  <c r="B92" i="21" s="1"/>
  <c r="F48" i="2"/>
  <c r="B93" i="21" s="1"/>
  <c r="F49" i="2"/>
  <c r="B94" i="21" s="1"/>
  <c r="F50" i="2"/>
  <c r="B95" i="21" s="1"/>
  <c r="F51" i="2"/>
  <c r="B96" i="21" s="1"/>
  <c r="F52" i="2"/>
  <c r="B97" i="21" s="1"/>
  <c r="G6" i="18" l="1"/>
  <c r="I6" i="20"/>
  <c r="G6" i="19"/>
  <c r="G6" i="17"/>
  <c r="I6" i="16"/>
  <c r="I6" i="15"/>
  <c r="I6" i="14"/>
  <c r="I6" i="13"/>
  <c r="G6" i="12"/>
  <c r="I6" i="11"/>
  <c r="I6" i="2"/>
  <c r="D52" i="20" l="1"/>
  <c r="E52" i="20" s="1"/>
  <c r="D51" i="20"/>
  <c r="E51" i="20" s="1"/>
  <c r="D50" i="20"/>
  <c r="E50" i="20" s="1"/>
  <c r="D49" i="20"/>
  <c r="E49" i="20" s="1"/>
  <c r="D48" i="20"/>
  <c r="E48" i="20" s="1"/>
  <c r="D47" i="20"/>
  <c r="E47" i="20" s="1"/>
  <c r="D46" i="20"/>
  <c r="E46" i="20" s="1"/>
  <c r="D45" i="20"/>
  <c r="E45" i="20" s="1"/>
  <c r="D44" i="20"/>
  <c r="E44" i="20" s="1"/>
  <c r="D43" i="20"/>
  <c r="E43" i="20" s="1"/>
  <c r="D42" i="20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3" i="20"/>
  <c r="E23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9" i="20"/>
  <c r="E9" i="20" s="1"/>
  <c r="D8" i="20"/>
  <c r="E8" i="20" s="1"/>
  <c r="D7" i="20"/>
  <c r="D6" i="20"/>
  <c r="D5" i="20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G2" i="19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G2" i="18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G2" i="17"/>
  <c r="D7" i="16"/>
  <c r="E7" i="16" s="1"/>
  <c r="D52" i="16"/>
  <c r="E52" i="16" s="1"/>
  <c r="D51" i="16"/>
  <c r="E51" i="16" s="1"/>
  <c r="D50" i="16"/>
  <c r="E50" i="16" s="1"/>
  <c r="D49" i="16"/>
  <c r="E49" i="16" s="1"/>
  <c r="D48" i="16"/>
  <c r="E48" i="16" s="1"/>
  <c r="D47" i="16"/>
  <c r="E47" i="16" s="1"/>
  <c r="D46" i="16"/>
  <c r="E46" i="16" s="1"/>
  <c r="D45" i="16"/>
  <c r="E45" i="16" s="1"/>
  <c r="D44" i="16"/>
  <c r="E44" i="16" s="1"/>
  <c r="D43" i="16"/>
  <c r="E43" i="16" s="1"/>
  <c r="D42" i="16"/>
  <c r="E42" i="16" s="1"/>
  <c r="D41" i="16"/>
  <c r="E41" i="16" s="1"/>
  <c r="D40" i="16"/>
  <c r="E40" i="16" s="1"/>
  <c r="D39" i="16"/>
  <c r="E39" i="16" s="1"/>
  <c r="D38" i="16"/>
  <c r="E38" i="16" s="1"/>
  <c r="D37" i="16"/>
  <c r="E37" i="16" s="1"/>
  <c r="D36" i="16"/>
  <c r="E36" i="16" s="1"/>
  <c r="D35" i="16"/>
  <c r="E35" i="16" s="1"/>
  <c r="D34" i="16"/>
  <c r="E34" i="16" s="1"/>
  <c r="D33" i="16"/>
  <c r="E33" i="16" s="1"/>
  <c r="D32" i="16"/>
  <c r="E32" i="16" s="1"/>
  <c r="D31" i="16"/>
  <c r="E31" i="16" s="1"/>
  <c r="D30" i="16"/>
  <c r="E30" i="16" s="1"/>
  <c r="D29" i="16"/>
  <c r="E29" i="16" s="1"/>
  <c r="D28" i="16"/>
  <c r="E28" i="16" s="1"/>
  <c r="D27" i="16"/>
  <c r="E27" i="16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E8" i="16" s="1"/>
  <c r="D6" i="16"/>
  <c r="E6" i="16" s="1"/>
  <c r="D5" i="16"/>
  <c r="E5" i="16" s="1"/>
  <c r="E7" i="20" l="1"/>
  <c r="E5" i="20"/>
  <c r="E6" i="20"/>
  <c r="I4" i="20" s="1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G4" i="18"/>
  <c r="I2" i="20"/>
  <c r="G4" i="19"/>
  <c r="G4" i="17"/>
  <c r="I2" i="16"/>
  <c r="F7" i="20" l="1"/>
  <c r="L52" i="21" s="1"/>
  <c r="F5" i="20"/>
  <c r="L50" i="21" s="1"/>
  <c r="F6" i="20"/>
  <c r="L51" i="21" s="1"/>
  <c r="D6" i="18"/>
  <c r="J51" i="21" s="1"/>
  <c r="D8" i="18"/>
  <c r="J53" i="21" s="1"/>
  <c r="D10" i="18"/>
  <c r="J55" i="21" s="1"/>
  <c r="D12" i="18"/>
  <c r="J57" i="21" s="1"/>
  <c r="D14" i="18"/>
  <c r="J59" i="21" s="1"/>
  <c r="D7" i="18"/>
  <c r="J52" i="21" s="1"/>
  <c r="D9" i="18"/>
  <c r="J54" i="21" s="1"/>
  <c r="D11" i="18"/>
  <c r="J56" i="21" s="1"/>
  <c r="D13" i="18"/>
  <c r="J58" i="21" s="1"/>
  <c r="D5" i="18"/>
  <c r="J50" i="21" s="1"/>
  <c r="I4" i="16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L30" i="21" l="1"/>
  <c r="L27" i="21"/>
  <c r="L31" i="21"/>
  <c r="L28" i="21"/>
  <c r="L29" i="21"/>
  <c r="J29" i="21"/>
  <c r="J28" i="21"/>
  <c r="J30" i="21"/>
  <c r="J31" i="21"/>
  <c r="J27" i="21"/>
  <c r="E7" i="15"/>
  <c r="E11" i="15"/>
  <c r="E6" i="15"/>
  <c r="E8" i="15"/>
  <c r="E10" i="15"/>
  <c r="E12" i="15"/>
  <c r="E14" i="15"/>
  <c r="E16" i="15"/>
  <c r="E18" i="15"/>
  <c r="E20" i="15"/>
  <c r="E22" i="15"/>
  <c r="E24" i="15"/>
  <c r="E26" i="15"/>
  <c r="E28" i="15"/>
  <c r="E30" i="15"/>
  <c r="E32" i="15"/>
  <c r="E34" i="15"/>
  <c r="E36" i="15"/>
  <c r="E38" i="15"/>
  <c r="E40" i="15"/>
  <c r="E42" i="15"/>
  <c r="E44" i="15"/>
  <c r="E46" i="15"/>
  <c r="E48" i="15"/>
  <c r="E50" i="15"/>
  <c r="E52" i="15"/>
  <c r="E5" i="15"/>
  <c r="E9" i="15"/>
  <c r="E13" i="15"/>
  <c r="E15" i="15"/>
  <c r="E17" i="15"/>
  <c r="E19" i="15"/>
  <c r="E21" i="15"/>
  <c r="E23" i="15"/>
  <c r="E25" i="15"/>
  <c r="E27" i="15"/>
  <c r="E29" i="15"/>
  <c r="E31" i="15"/>
  <c r="E33" i="15"/>
  <c r="E35" i="15"/>
  <c r="E37" i="15"/>
  <c r="E39" i="15"/>
  <c r="E41" i="15"/>
  <c r="E43" i="15"/>
  <c r="E45" i="15"/>
  <c r="E47" i="15"/>
  <c r="E49" i="15"/>
  <c r="E51" i="15"/>
  <c r="I2" i="15"/>
  <c r="D52" i="14"/>
  <c r="E52" i="14" s="1"/>
  <c r="D51" i="14"/>
  <c r="E51" i="14" s="1"/>
  <c r="D50" i="14"/>
  <c r="E50" i="14" s="1"/>
  <c r="D49" i="14"/>
  <c r="E49" i="14" s="1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2" i="14"/>
  <c r="E42" i="14" s="1"/>
  <c r="D41" i="14"/>
  <c r="E41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D8" i="14"/>
  <c r="D7" i="14"/>
  <c r="D6" i="14"/>
  <c r="D5" i="14"/>
  <c r="E5" i="14" l="1"/>
  <c r="E8" i="14"/>
  <c r="E9" i="14"/>
  <c r="L36" i="21"/>
  <c r="B16" i="1"/>
  <c r="E6" i="14"/>
  <c r="E7" i="14"/>
  <c r="L37" i="21"/>
  <c r="L32" i="21"/>
  <c r="L39" i="21" s="1"/>
  <c r="J36" i="21"/>
  <c r="B14" i="1"/>
  <c r="I4" i="15"/>
  <c r="J32" i="21"/>
  <c r="J39" i="21" s="1"/>
  <c r="J37" i="21"/>
  <c r="I4" i="14"/>
  <c r="F8" i="14" s="1"/>
  <c r="F53" i="21" s="1"/>
  <c r="I2" i="14"/>
  <c r="L41" i="21" l="1"/>
  <c r="L43" i="21" s="1"/>
  <c r="L33" i="21"/>
  <c r="L46" i="21" s="1"/>
  <c r="F9" i="14"/>
  <c r="F54" i="21" s="1"/>
  <c r="L40" i="21"/>
  <c r="F7" i="14"/>
  <c r="F52" i="21" s="1"/>
  <c r="F6" i="14"/>
  <c r="F51" i="21" s="1"/>
  <c r="F5" i="14"/>
  <c r="F50" i="21" s="1"/>
  <c r="F12" i="15"/>
  <c r="G57" i="21" s="1"/>
  <c r="F6" i="15"/>
  <c r="G51" i="21" s="1"/>
  <c r="F7" i="15"/>
  <c r="G52" i="21" s="1"/>
  <c r="F11" i="15"/>
  <c r="G56" i="21" s="1"/>
  <c r="F10" i="15"/>
  <c r="G55" i="21" s="1"/>
  <c r="F5" i="15"/>
  <c r="G50" i="21" s="1"/>
  <c r="F9" i="15"/>
  <c r="G54" i="21" s="1"/>
  <c r="F8" i="15"/>
  <c r="G53" i="21" s="1"/>
  <c r="J33" i="21"/>
  <c r="J46" i="21" s="1"/>
  <c r="J41" i="21"/>
  <c r="J43" i="21" s="1"/>
  <c r="J40" i="21"/>
  <c r="D52" i="13"/>
  <c r="E52" i="13" s="1"/>
  <c r="D51" i="13"/>
  <c r="E51" i="13" s="1"/>
  <c r="D50" i="13"/>
  <c r="E50" i="13" s="1"/>
  <c r="D49" i="13"/>
  <c r="E49" i="13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D9" i="13"/>
  <c r="D8" i="13"/>
  <c r="D7" i="13"/>
  <c r="D6" i="13"/>
  <c r="D5" i="13"/>
  <c r="G2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" i="12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D45" i="11"/>
  <c r="E45" i="11" s="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E34" i="11" s="1"/>
  <c r="D33" i="11"/>
  <c r="E33" i="11" s="1"/>
  <c r="D32" i="11"/>
  <c r="E32" i="11" s="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D19" i="11"/>
  <c r="E19" i="11" s="1"/>
  <c r="D18" i="11"/>
  <c r="E18" i="11" s="1"/>
  <c r="D17" i="11"/>
  <c r="E17" i="11" s="1"/>
  <c r="D16" i="11"/>
  <c r="E16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6" i="2"/>
  <c r="D7" i="2"/>
  <c r="D8" i="2"/>
  <c r="D9" i="2"/>
  <c r="D10" i="2"/>
  <c r="D11" i="2"/>
  <c r="D12" i="2"/>
  <c r="D13" i="2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" i="2"/>
  <c r="E8" i="13" l="1"/>
  <c r="F30" i="21"/>
  <c r="F29" i="21"/>
  <c r="F28" i="21"/>
  <c r="F27" i="21"/>
  <c r="F31" i="21"/>
  <c r="E9" i="13"/>
  <c r="E10" i="13"/>
  <c r="L34" i="21"/>
  <c r="L47" i="21" s="1"/>
  <c r="L42" i="21"/>
  <c r="L44" i="21" s="1"/>
  <c r="E7" i="13"/>
  <c r="E5" i="13"/>
  <c r="E6" i="13"/>
  <c r="G31" i="21"/>
  <c r="G28" i="21"/>
  <c r="G29" i="21"/>
  <c r="B11" i="1" s="1"/>
  <c r="G27" i="21"/>
  <c r="G30" i="21"/>
  <c r="J34" i="21"/>
  <c r="J47" i="21" s="1"/>
  <c r="J42" i="21"/>
  <c r="J44" i="21" s="1"/>
  <c r="E10" i="2"/>
  <c r="E8" i="2"/>
  <c r="E6" i="2"/>
  <c r="E5" i="2"/>
  <c r="E11" i="2"/>
  <c r="E9" i="2"/>
  <c r="E7" i="2"/>
  <c r="E13" i="2"/>
  <c r="I2" i="2"/>
  <c r="E12" i="2"/>
  <c r="I2" i="13"/>
  <c r="I4" i="13"/>
  <c r="F9" i="13" s="1"/>
  <c r="E54" i="21" s="1"/>
  <c r="G4" i="12"/>
  <c r="I4" i="11"/>
  <c r="I2" i="11"/>
  <c r="I8" i="1"/>
  <c r="B9" i="1" l="1"/>
  <c r="F36" i="21"/>
  <c r="F6" i="13"/>
  <c r="E51" i="21" s="1"/>
  <c r="F10" i="13"/>
  <c r="E55" i="21" s="1"/>
  <c r="F32" i="21"/>
  <c r="F39" i="21" s="1"/>
  <c r="F37" i="21"/>
  <c r="F8" i="13"/>
  <c r="E53" i="21" s="1"/>
  <c r="F7" i="13"/>
  <c r="E52" i="21" s="1"/>
  <c r="F5" i="13"/>
  <c r="E50" i="21" s="1"/>
  <c r="G37" i="21"/>
  <c r="G36" i="21"/>
  <c r="G32" i="21"/>
  <c r="G39" i="21" s="1"/>
  <c r="G41" i="21" s="1"/>
  <c r="G43" i="21" s="1"/>
  <c r="F10" i="11"/>
  <c r="C55" i="21" s="1"/>
  <c r="F8" i="11"/>
  <c r="C53" i="21" s="1"/>
  <c r="F6" i="11"/>
  <c r="C51" i="21" s="1"/>
  <c r="F11" i="11"/>
  <c r="C56" i="21" s="1"/>
  <c r="F9" i="11"/>
  <c r="C54" i="21" s="1"/>
  <c r="F7" i="11"/>
  <c r="C52" i="21" s="1"/>
  <c r="F5" i="11"/>
  <c r="C50" i="21" s="1"/>
  <c r="D12" i="19"/>
  <c r="K57" i="21" s="1"/>
  <c r="D10" i="19"/>
  <c r="K55" i="21" s="1"/>
  <c r="D8" i="19"/>
  <c r="K53" i="21" s="1"/>
  <c r="D6" i="19"/>
  <c r="K51" i="21" s="1"/>
  <c r="D6" i="17"/>
  <c r="I51" i="21" s="1"/>
  <c r="D8" i="17"/>
  <c r="I53" i="21" s="1"/>
  <c r="D11" i="19"/>
  <c r="K56" i="21" s="1"/>
  <c r="D9" i="19"/>
  <c r="K54" i="21" s="1"/>
  <c r="D7" i="19"/>
  <c r="K52" i="21" s="1"/>
  <c r="D5" i="19"/>
  <c r="K50" i="21" s="1"/>
  <c r="D7" i="17"/>
  <c r="I52" i="21" s="1"/>
  <c r="D5" i="17"/>
  <c r="I50" i="21" s="1"/>
  <c r="F6" i="16"/>
  <c r="H51" i="21" s="1"/>
  <c r="F8" i="16"/>
  <c r="H53" i="21" s="1"/>
  <c r="F10" i="16"/>
  <c r="H55" i="21" s="1"/>
  <c r="F12" i="16"/>
  <c r="H57" i="21" s="1"/>
  <c r="F14" i="16"/>
  <c r="H59" i="21" s="1"/>
  <c r="F16" i="16"/>
  <c r="H61" i="21" s="1"/>
  <c r="F18" i="16"/>
  <c r="H63" i="21" s="1"/>
  <c r="F20" i="16"/>
  <c r="H65" i="21" s="1"/>
  <c r="F22" i="16"/>
  <c r="H67" i="21" s="1"/>
  <c r="F24" i="16"/>
  <c r="H69" i="21" s="1"/>
  <c r="F26" i="16"/>
  <c r="H71" i="21" s="1"/>
  <c r="F7" i="16"/>
  <c r="H52" i="21" s="1"/>
  <c r="F9" i="16"/>
  <c r="H54" i="21" s="1"/>
  <c r="F11" i="16"/>
  <c r="H56" i="21" s="1"/>
  <c r="F13" i="16"/>
  <c r="H58" i="21" s="1"/>
  <c r="F15" i="16"/>
  <c r="H60" i="21" s="1"/>
  <c r="F17" i="16"/>
  <c r="H62" i="21" s="1"/>
  <c r="F19" i="16"/>
  <c r="H64" i="21" s="1"/>
  <c r="F21" i="16"/>
  <c r="H66" i="21" s="1"/>
  <c r="F23" i="16"/>
  <c r="H68" i="21" s="1"/>
  <c r="F25" i="16"/>
  <c r="H70" i="21" s="1"/>
  <c r="F5" i="16"/>
  <c r="H50" i="21" s="1"/>
  <c r="D6" i="12"/>
  <c r="D51" i="21" s="1"/>
  <c r="D8" i="12"/>
  <c r="D53" i="21" s="1"/>
  <c r="D10" i="12"/>
  <c r="D55" i="21" s="1"/>
  <c r="D7" i="12"/>
  <c r="D52" i="21" s="1"/>
  <c r="D9" i="12"/>
  <c r="D54" i="21" s="1"/>
  <c r="D11" i="12"/>
  <c r="D56" i="21" s="1"/>
  <c r="D5" i="12"/>
  <c r="D50" i="21" s="1"/>
  <c r="I4" i="2"/>
  <c r="F33" i="21" l="1"/>
  <c r="F46" i="21" s="1"/>
  <c r="F41" i="21"/>
  <c r="F43" i="21" s="1"/>
  <c r="E31" i="21"/>
  <c r="E29" i="21"/>
  <c r="E27" i="21"/>
  <c r="E30" i="21"/>
  <c r="E28" i="21"/>
  <c r="F40" i="21"/>
  <c r="G33" i="21"/>
  <c r="G46" i="21" s="1"/>
  <c r="G40" i="21"/>
  <c r="G34" i="21"/>
  <c r="G47" i="21" s="1"/>
  <c r="G42" i="21"/>
  <c r="G44" i="21" s="1"/>
  <c r="C31" i="21"/>
  <c r="C29" i="21"/>
  <c r="B7" i="1" s="1"/>
  <c r="C30" i="21"/>
  <c r="C27" i="21"/>
  <c r="C28" i="21"/>
  <c r="H31" i="21"/>
  <c r="H30" i="21"/>
  <c r="H28" i="21"/>
  <c r="H29" i="21"/>
  <c r="B12" i="1" s="1"/>
  <c r="H27" i="21"/>
  <c r="I31" i="21"/>
  <c r="I30" i="21"/>
  <c r="I29" i="21"/>
  <c r="B13" i="1" s="1"/>
  <c r="I27" i="21"/>
  <c r="I28" i="21"/>
  <c r="K31" i="21"/>
  <c r="K28" i="21"/>
  <c r="K30" i="21"/>
  <c r="K29" i="21"/>
  <c r="K27" i="21"/>
  <c r="D30" i="21"/>
  <c r="D28" i="21"/>
  <c r="D31" i="21"/>
  <c r="D29" i="21"/>
  <c r="D27" i="21"/>
  <c r="F12" i="2"/>
  <c r="B57" i="21" s="1"/>
  <c r="F10" i="2"/>
  <c r="B55" i="21" s="1"/>
  <c r="F8" i="2"/>
  <c r="B53" i="21" s="1"/>
  <c r="F6" i="2"/>
  <c r="B51" i="21" s="1"/>
  <c r="F5" i="2"/>
  <c r="B50" i="21" s="1"/>
  <c r="F11" i="2"/>
  <c r="B56" i="21" s="1"/>
  <c r="F9" i="2"/>
  <c r="B54" i="21" s="1"/>
  <c r="F7" i="2"/>
  <c r="B52" i="21" s="1"/>
  <c r="F34" i="21" l="1"/>
  <c r="F47" i="21" s="1"/>
  <c r="F42" i="21"/>
  <c r="F44" i="21" s="1"/>
  <c r="E32" i="21"/>
  <c r="E39" i="21" s="1"/>
  <c r="E37" i="21"/>
  <c r="B10" i="1"/>
  <c r="E36" i="21"/>
  <c r="E40" i="21"/>
  <c r="E34" i="21" s="1"/>
  <c r="E47" i="21" s="1"/>
  <c r="D36" i="21"/>
  <c r="B8" i="1"/>
  <c r="K36" i="21"/>
  <c r="B15" i="1"/>
  <c r="C36" i="21"/>
  <c r="C37" i="21"/>
  <c r="C32" i="21"/>
  <c r="C39" i="21" s="1"/>
  <c r="I36" i="21"/>
  <c r="H36" i="21"/>
  <c r="H37" i="21"/>
  <c r="H32" i="21"/>
  <c r="H39" i="21" s="1"/>
  <c r="K37" i="21"/>
  <c r="K32" i="21"/>
  <c r="K39" i="21" s="1"/>
  <c r="I37" i="21"/>
  <c r="I32" i="21"/>
  <c r="I39" i="21" s="1"/>
  <c r="B31" i="21"/>
  <c r="B30" i="21"/>
  <c r="B28" i="21"/>
  <c r="B29" i="21"/>
  <c r="B27" i="21"/>
  <c r="D32" i="21"/>
  <c r="D39" i="21" s="1"/>
  <c r="D37" i="21"/>
  <c r="E42" i="21" l="1"/>
  <c r="E44" i="21" s="1"/>
  <c r="E33" i="21"/>
  <c r="E46" i="21" s="1"/>
  <c r="E41" i="21"/>
  <c r="E43" i="21" s="1"/>
  <c r="H40" i="21"/>
  <c r="H34" i="21" s="1"/>
  <c r="H47" i="21" s="1"/>
  <c r="B36" i="21"/>
  <c r="B6" i="1"/>
  <c r="C40" i="21"/>
  <c r="C33" i="21"/>
  <c r="C46" i="21" s="1"/>
  <c r="C41" i="21"/>
  <c r="C43" i="21" s="1"/>
  <c r="I41" i="21"/>
  <c r="I43" i="21" s="1"/>
  <c r="I33" i="21"/>
  <c r="I46" i="21" s="1"/>
  <c r="H41" i="21"/>
  <c r="H43" i="21" s="1"/>
  <c r="H33" i="21"/>
  <c r="H46" i="21" s="1"/>
  <c r="I40" i="21"/>
  <c r="K33" i="21"/>
  <c r="K46" i="21" s="1"/>
  <c r="K41" i="21"/>
  <c r="K43" i="21" s="1"/>
  <c r="K40" i="21"/>
  <c r="D33" i="21"/>
  <c r="D46" i="21" s="1"/>
  <c r="D41" i="21"/>
  <c r="D43" i="21" s="1"/>
  <c r="B32" i="21"/>
  <c r="B39" i="21" s="1"/>
  <c r="B37" i="21"/>
  <c r="D40" i="21"/>
  <c r="H42" i="21" l="1"/>
  <c r="H44" i="21" s="1"/>
  <c r="B17" i="1"/>
  <c r="B18" i="1" s="1"/>
  <c r="C34" i="21"/>
  <c r="C47" i="21" s="1"/>
  <c r="C42" i="21"/>
  <c r="C44" i="21" s="1"/>
  <c r="K34" i="21"/>
  <c r="K47" i="21" s="1"/>
  <c r="K42" i="21"/>
  <c r="K44" i="21" s="1"/>
  <c r="I34" i="21"/>
  <c r="I47" i="21" s="1"/>
  <c r="I42" i="21"/>
  <c r="I44" i="21" s="1"/>
  <c r="B40" i="21"/>
  <c r="D34" i="21"/>
  <c r="D47" i="21" s="1"/>
  <c r="D42" i="21"/>
  <c r="D44" i="21" s="1"/>
  <c r="B33" i="21"/>
  <c r="B46" i="21" s="1"/>
  <c r="B41" i="21"/>
  <c r="B43" i="21" s="1"/>
  <c r="B34" i="21" l="1"/>
  <c r="B47" i="21" s="1"/>
  <c r="B42" i="21"/>
  <c r="B44" i="21" s="1"/>
</calcChain>
</file>

<file path=xl/comments1.xml><?xml version="1.0" encoding="utf-8"?>
<comments xmlns="http://schemas.openxmlformats.org/spreadsheetml/2006/main">
  <authors>
    <author>Usuario</author>
  </authors>
  <commentList>
    <comment ref="I11" authorId="0" shapeId="0">
      <text>
        <r>
          <rPr>
            <b/>
            <sz val="8"/>
            <color indexed="81"/>
            <rFont val="Tahoma"/>
            <charset val="1"/>
          </rPr>
          <t>Suggested:
0.4-0.5 km per turbine + distance to existing road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charset val="1"/>
          </rPr>
          <t>Suggested:
Distance of existing road which needs upgrades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charset val="1"/>
          </rPr>
          <t>Suggested:
0.4-0.5 km per turbine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charset val="1"/>
          </rPr>
          <t>Suggested:
Distance location to closest grid connection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Usuario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cost/turbine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Usuario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 xml:space="preserve">Suggested:
S=a/A 
a:slope of the graph trend line y=a.x+b
A:Average cost/MW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If S&lt;0 then consider S=0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</text>
    </comment>
  </commentList>
</comments>
</file>

<file path=xl/comments7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Usuario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Usuario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<sst xmlns="http://schemas.openxmlformats.org/spreadsheetml/2006/main" count="198" uniqueCount="112">
  <si>
    <t>CRANE PADS</t>
  </si>
  <si>
    <t>FOUNDATIONS</t>
  </si>
  <si>
    <t>No. TURBINES</t>
  </si>
  <si>
    <t>CABLING TO GRID</t>
  </si>
  <si>
    <t>CABLING TO SUBSTATION</t>
  </si>
  <si>
    <t xml:space="preserve">ROAD UPGRADES </t>
  </si>
  <si>
    <t xml:space="preserve">ROAD CONSTRUCTION </t>
  </si>
  <si>
    <t>SCADA</t>
  </si>
  <si>
    <t>WINDFARM CAPACITY (MW)</t>
  </si>
  <si>
    <t>TURBINE RATING(MW)</t>
  </si>
  <si>
    <t>TOTAL BALANCE OF PLANT</t>
  </si>
  <si>
    <t>No. Of Turbines</t>
  </si>
  <si>
    <t>ELEMENTS</t>
  </si>
  <si>
    <t>COST</t>
  </si>
  <si>
    <t>TRANFORMERS</t>
  </si>
  <si>
    <t>SUBSTATION-ELECTRICAL</t>
  </si>
  <si>
    <t>SUBSTATION-CIVIL</t>
  </si>
  <si>
    <t>CABLE LENGTH</t>
  </si>
  <si>
    <t>Cost per MW</t>
  </si>
  <si>
    <t>Turbine capacity (MW)</t>
  </si>
  <si>
    <t>CRANE PADS, cost data base</t>
  </si>
  <si>
    <t>Cost per crane pad</t>
  </si>
  <si>
    <t>AVERAGE COST/PAD</t>
  </si>
  <si>
    <t>Total cost</t>
  </si>
  <si>
    <t>AVERAGE COST/MW</t>
  </si>
  <si>
    <t>FOUNDATIONS, cost data base</t>
  </si>
  <si>
    <t>Cost per foundation</t>
  </si>
  <si>
    <t>AVERAGE COST/FOUNDATION</t>
  </si>
  <si>
    <t>SUBSTATION-CIVIL, cost data base</t>
  </si>
  <si>
    <t>AVERAGE COST/SUBSTATION</t>
  </si>
  <si>
    <t>Wind farm capacity (MW)</t>
  </si>
  <si>
    <t>ROAD CONSTRUCTION, cost data base</t>
  </si>
  <si>
    <t>Length (km)</t>
  </si>
  <si>
    <t>Cost per km</t>
  </si>
  <si>
    <t>AVERAGE COST/km</t>
  </si>
  <si>
    <t>ROAD LENGTH</t>
  </si>
  <si>
    <t>ROAD UPGRADE, cost data base</t>
  </si>
  <si>
    <t>CABLING TO SUBSTATION, cost data base</t>
  </si>
  <si>
    <t>CABLING TO GRID, cost data base</t>
  </si>
  <si>
    <t>POINT OF CONNECTION, cost data base</t>
  </si>
  <si>
    <t>AVERAGE COST/POC</t>
  </si>
  <si>
    <t>SCADA, cost data base</t>
  </si>
  <si>
    <t>No. Of turbines</t>
  </si>
  <si>
    <t>Cost per turbine</t>
  </si>
  <si>
    <t>AVERAGE COST/SCADA</t>
  </si>
  <si>
    <t>AVERAGE COST/TURBINE</t>
  </si>
  <si>
    <t>SUBSTATION-ELECTRICAL, cost data base</t>
  </si>
  <si>
    <t>TRANSFORMERS, cost data base</t>
  </si>
  <si>
    <t>Cost per transformer</t>
  </si>
  <si>
    <t>AVERAGE COST/TRANSFORMER</t>
  </si>
  <si>
    <t>Km cost per MW</t>
  </si>
  <si>
    <t>AVERAGE km COST/MW</t>
  </si>
  <si>
    <t>km cost per MW</t>
  </si>
  <si>
    <t>AVERAGE TURBINE (MW)</t>
  </si>
  <si>
    <t>AVERAGE WINDFARM (MW)</t>
  </si>
  <si>
    <t>Sizing factor S</t>
  </si>
  <si>
    <t>CONSTRUCTION (km)</t>
  </si>
  <si>
    <t>CABLING TO SUBSTATION (km)</t>
  </si>
  <si>
    <t>CABLING TO GRID (km)</t>
  </si>
  <si>
    <t>AVERAGE NO of TURBINES</t>
  </si>
  <si>
    <t>UPGRADES(km)</t>
  </si>
  <si>
    <t>BALANCE OF PLANT: Cost calculation tool</t>
  </si>
  <si>
    <t>Historical data</t>
  </si>
  <si>
    <t>Rated cost</t>
  </si>
  <si>
    <t>Extrapolated cost for the input turbine power and number of transformers</t>
  </si>
  <si>
    <t>Extrapolated cost for the input wind farm capacity</t>
  </si>
  <si>
    <t>Extrapolated cost for the input windfarm capacity</t>
  </si>
  <si>
    <t>Extrapolated cost for the input turbine size and number of crane pads</t>
  </si>
  <si>
    <t>Extrapolated cost for the turbine input size and number of foundations</t>
  </si>
  <si>
    <t>Extrapolated cost for the input wind farm size</t>
  </si>
  <si>
    <t>Extrapolated cost for the input turbine size and  km of road</t>
  </si>
  <si>
    <t>Extrapolated cost for the input turbine size and km of road</t>
  </si>
  <si>
    <t>Extrapolated cost for the input turbine power and km of cable</t>
  </si>
  <si>
    <t>Extrapolated cost for the input wind farm capacity and distance to grid</t>
  </si>
  <si>
    <t>Extrapolated cost for the input number of turbines</t>
  </si>
  <si>
    <t>Labels</t>
  </si>
  <si>
    <t>Crane Pads</t>
  </si>
  <si>
    <t>Foundations</t>
  </si>
  <si>
    <t>Substation Civils</t>
  </si>
  <si>
    <t>Road construction</t>
  </si>
  <si>
    <t>Road upgrade</t>
  </si>
  <si>
    <t>Cabling to substation</t>
  </si>
  <si>
    <t>Cabling to grid</t>
  </si>
  <si>
    <t>Point of Connection</t>
  </si>
  <si>
    <t>Substation Electrical</t>
  </si>
  <si>
    <t>Transformers</t>
  </si>
  <si>
    <t>Min</t>
  </si>
  <si>
    <r>
      <t>Q</t>
    </r>
    <r>
      <rPr>
        <vertAlign val="subscript"/>
        <sz val="10"/>
        <rFont val="Arial"/>
        <family val="2"/>
      </rPr>
      <t>1</t>
    </r>
  </si>
  <si>
    <t>Median</t>
  </si>
  <si>
    <r>
      <t>Q</t>
    </r>
    <r>
      <rPr>
        <vertAlign val="subscript"/>
        <sz val="10"/>
        <rFont val="Arial"/>
        <family val="2"/>
      </rPr>
      <t>3</t>
    </r>
  </si>
  <si>
    <t>Max</t>
  </si>
  <si>
    <t>IQR</t>
  </si>
  <si>
    <t>Upper Outliers</t>
  </si>
  <si>
    <t>Lower Outliers</t>
  </si>
  <si>
    <t>For the Box (IQR and Median)</t>
  </si>
  <si>
    <t>Q2-Q1</t>
  </si>
  <si>
    <t>Q3-Q2</t>
  </si>
  <si>
    <t>For the Whiskers</t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</si>
  <si>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+1.5*IQR</t>
    </r>
  </si>
  <si>
    <r>
      <t>Q</t>
    </r>
    <r>
      <rPr>
        <vertAlign val="subscript"/>
        <sz val="10"/>
        <rFont val="Arial"/>
        <family val="2"/>
      </rPr>
      <t>1-</t>
    </r>
    <r>
      <rPr>
        <sz val="10"/>
        <rFont val="Arial"/>
        <family val="2"/>
      </rPr>
      <t>1.5*IQR</t>
    </r>
  </si>
  <si>
    <t>Upper Whisker</t>
  </si>
  <si>
    <t>Lower Whisker</t>
  </si>
  <si>
    <r>
      <t>W</t>
    </r>
    <r>
      <rPr>
        <vertAlign val="subscript"/>
        <sz val="10"/>
        <rFont val="Arial"/>
        <family val="2"/>
      </rPr>
      <t>upper</t>
    </r>
    <r>
      <rPr>
        <sz val="10"/>
        <rFont val="Arial"/>
        <family val="2"/>
      </rPr>
      <t>-Q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</si>
  <si>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-W</t>
    </r>
    <r>
      <rPr>
        <vertAlign val="subscript"/>
        <sz val="10"/>
        <rFont val="Arial"/>
        <family val="2"/>
      </rPr>
      <t>lower</t>
    </r>
  </si>
  <si>
    <t>For the Outliers</t>
  </si>
  <si>
    <t>Data Table</t>
  </si>
  <si>
    <t>Insert new rows above this line</t>
  </si>
  <si>
    <t>BALANCE OF PLANT: Cost box plots</t>
  </si>
  <si>
    <t>OVERHEAD/OTHER</t>
  </si>
  <si>
    <t>OVERHEAD/OTHER %</t>
  </si>
  <si>
    <t>INTRODUCE INPUTS IN CELLS COLOURED :</t>
  </si>
  <si>
    <t>POINT OF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</si>
</sst>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"/>
    <numFmt numFmtId="165" formatCode="[$£-809]#,##0.00"/>
    <numFmt numFmtId="166" formatCode="[$£-809]#,##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Bernard MT Condensed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sz val="8"/>
      <color indexed="23"/>
      <name val="Arial"/>
      <family val="2"/>
    </font>
    <font>
      <sz val="10"/>
      <color rgb="FF92D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0" fillId="0" borderId="0" xfId="0" applyBorder="1"/>
    <xf numFmtId="0" fontId="0" fillId="7" borderId="0" xfId="0" applyFill="1"/>
    <xf numFmtId="0" fontId="4" fillId="4" borderId="2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5" fillId="6" borderId="6" xfId="0" applyFont="1" applyFill="1" applyBorder="1"/>
    <xf numFmtId="164" fontId="5" fillId="6" borderId="7" xfId="0" applyNumberFormat="1" applyFont="1" applyFill="1" applyBorder="1" applyAlignment="1">
      <alignment horizontal="right" vertical="center"/>
    </xf>
    <xf numFmtId="0" fontId="5" fillId="6" borderId="8" xfId="0" applyFont="1" applyFill="1" applyBorder="1"/>
    <xf numFmtId="0" fontId="4" fillId="4" borderId="3" xfId="0" applyFont="1" applyFill="1" applyBorder="1" applyAlignment="1">
      <alignment horizontal="right"/>
    </xf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165" fontId="0" fillId="0" borderId="0" xfId="0" applyNumberFormat="1"/>
    <xf numFmtId="0" fontId="0" fillId="2" borderId="5" xfId="0" applyFill="1" applyBorder="1" applyAlignment="1">
      <alignment horizont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/>
    </xf>
    <xf numFmtId="0" fontId="0" fillId="8" borderId="11" xfId="0" applyFill="1" applyBorder="1" applyAlignment="1">
      <alignment horizontal="center" vertical="center"/>
    </xf>
    <xf numFmtId="164" fontId="0" fillId="6" borderId="14" xfId="0" applyNumberFormat="1" applyFill="1" applyBorder="1"/>
    <xf numFmtId="0" fontId="1" fillId="2" borderId="15" xfId="0" applyFont="1" applyFill="1" applyBorder="1" applyAlignment="1">
      <alignment horizontal="center" vertical="center" wrapText="1"/>
    </xf>
    <xf numFmtId="164" fontId="1" fillId="6" borderId="15" xfId="0" applyNumberFormat="1" applyFont="1" applyFill="1" applyBorder="1"/>
    <xf numFmtId="164" fontId="1" fillId="6" borderId="16" xfId="0" applyNumberFormat="1" applyFont="1" applyFill="1" applyBorder="1"/>
    <xf numFmtId="164" fontId="1" fillId="6" borderId="17" xfId="0" applyNumberFormat="1" applyFont="1" applyFill="1" applyBorder="1"/>
    <xf numFmtId="166" fontId="0" fillId="0" borderId="0" xfId="0" applyNumberFormat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6" borderId="6" xfId="0" applyNumberFormat="1" applyFill="1" applyBorder="1"/>
    <xf numFmtId="164" fontId="0" fillId="6" borderId="7" xfId="0" applyNumberFormat="1" applyFill="1" applyBorder="1"/>
    <xf numFmtId="164" fontId="0" fillId="6" borderId="8" xfId="0" applyNumberFormat="1" applyFill="1" applyBorder="1"/>
    <xf numFmtId="164" fontId="0" fillId="6" borderId="25" xfId="0" applyNumberFormat="1" applyFill="1" applyBorder="1"/>
    <xf numFmtId="0" fontId="0" fillId="2" borderId="16" xfId="0" applyFill="1" applyBorder="1" applyAlignment="1">
      <alignment horizontal="center"/>
    </xf>
    <xf numFmtId="164" fontId="0" fillId="6" borderId="16" xfId="0" applyNumberFormat="1" applyFill="1" applyBorder="1"/>
    <xf numFmtId="164" fontId="0" fillId="6" borderId="17" xfId="0" applyNumberFormat="1" applyFill="1" applyBorder="1"/>
    <xf numFmtId="164" fontId="0" fillId="6" borderId="29" xfId="0" applyNumberFormat="1" applyFill="1" applyBorder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164" fontId="13" fillId="0" borderId="0" xfId="0" applyNumberFormat="1" applyFont="1" applyProtection="1"/>
    <xf numFmtId="0" fontId="13" fillId="10" borderId="0" xfId="0" applyFont="1" applyFill="1" applyProtection="1"/>
    <xf numFmtId="164" fontId="10" fillId="6" borderId="5" xfId="1" applyNumberFormat="1" applyFill="1" applyBorder="1"/>
    <xf numFmtId="0" fontId="17" fillId="10" borderId="0" xfId="0" applyFont="1" applyFill="1" applyProtection="1"/>
    <xf numFmtId="0" fontId="18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/>
    <xf numFmtId="0" fontId="13" fillId="2" borderId="0" xfId="0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0" fontId="13" fillId="2" borderId="0" xfId="0" applyFont="1" applyFill="1" applyProtection="1"/>
    <xf numFmtId="0" fontId="14" fillId="2" borderId="13" xfId="0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left" vertical="center"/>
    </xf>
    <xf numFmtId="164" fontId="0" fillId="6" borderId="5" xfId="1" applyNumberFormat="1" applyFont="1" applyFill="1" applyBorder="1"/>
    <xf numFmtId="164" fontId="0" fillId="0" borderId="6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1" fillId="3" borderId="14" xfId="0" applyFont="1" applyFill="1" applyBorder="1"/>
    <xf numFmtId="0" fontId="0" fillId="2" borderId="11" xfId="0" applyFill="1" applyBorder="1" applyAlignment="1">
      <alignment horizontal="center" vertical="center"/>
    </xf>
    <xf numFmtId="0" fontId="0" fillId="2" borderId="30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9" fontId="0" fillId="2" borderId="5" xfId="0" applyNumberFormat="1" applyFill="1" applyBorder="1" applyAlignment="1" applyProtection="1">
      <alignment horizontal="center"/>
      <protection locked="0"/>
    </xf>
    <xf numFmtId="0" fontId="7" fillId="7" borderId="0" xfId="0" applyFont="1" applyFill="1" applyAlignment="1">
      <alignment horizontal="right"/>
    </xf>
    <xf numFmtId="164" fontId="0" fillId="11" borderId="6" xfId="0" applyNumberFormat="1" applyFill="1" applyBorder="1" applyProtection="1">
      <protection locked="0"/>
    </xf>
    <xf numFmtId="0" fontId="0" fillId="11" borderId="5" xfId="0" applyFill="1" applyBorder="1" applyProtection="1">
      <protection locked="0"/>
    </xf>
    <xf numFmtId="0" fontId="0" fillId="11" borderId="7" xfId="0" applyFill="1" applyBorder="1" applyProtection="1">
      <protection locked="0"/>
    </xf>
    <xf numFmtId="164" fontId="0" fillId="11" borderId="8" xfId="0" applyNumberForma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5" xfId="0" applyFill="1" applyBorder="1" applyProtection="1"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8794807378627"/>
          <c:y val="5.0577364965191614E-2"/>
          <c:w val="0.55162725310873006"/>
          <c:h val="0.78756862086111734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8386097173232651E-2"/>
                  <c:y val="6.6139022219680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732087411197778E-2"/>
                  <c:y val="-7.602252128751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999664662924137E-2"/>
                  <c:y val="-2.2151240470587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1370954220279196E-2"/>
                  <c:y val="2.72377053270515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484721980724373E-3"/>
                  <c:y val="1.4086737906329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089819104277411E-3"/>
                  <c:y val="-3.812287718119446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3679843136767842E-2"/>
                  <c:y val="0.136218242534441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0926605426250683"/>
                  <c:y val="9.1886886710096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0220115411843608"/>
                  <c:y val="2.4922107900111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284769486810076E-2"/>
                  <c:y val="-9.189281276544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9128240039246859E-2"/>
                  <c:y val="1.44679297252412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COST!$A$6:$A$17</c:f>
              <c:strCache>
                <c:ptCount val="12"/>
                <c:pt idx="0">
                  <c:v>CRANE PADS</c:v>
                </c:pt>
                <c:pt idx="1">
                  <c:v>FOUNDATIONS</c:v>
                </c:pt>
                <c:pt idx="2">
                  <c:v>SUBSTATION-CIVIL</c:v>
                </c:pt>
                <c:pt idx="3">
                  <c:v>ROAD UPGRADES </c:v>
                </c:pt>
                <c:pt idx="4">
                  <c:v>ROAD CONSTRUCTION 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SUBSTATION-ELECTRICAL</c:v>
                </c:pt>
                <c:pt idx="10">
                  <c:v>TRANFORMERS</c:v>
                </c:pt>
                <c:pt idx="11">
                  <c:v>OVERHEAD/OTHER</c:v>
                </c:pt>
              </c:strCache>
            </c:strRef>
          </c:cat>
          <c:val>
            <c:numRef>
              <c:f>COST!$B$6:$B$17</c:f>
              <c:numCache>
                <c:formatCode>[$£-809]#,##0</c:formatCode>
                <c:ptCount val="12"/>
                <c:pt idx="0">
                  <c:v>328799.59457598196</c:v>
                </c:pt>
                <c:pt idx="1">
                  <c:v>3124749.1388161527</c:v>
                </c:pt>
                <c:pt idx="2">
                  <c:v>652537.04138322</c:v>
                </c:pt>
                <c:pt idx="3">
                  <c:v>201155.98209802553</c:v>
                </c:pt>
                <c:pt idx="4">
                  <c:v>734423.10230992199</c:v>
                </c:pt>
                <c:pt idx="5">
                  <c:v>1009019.9466909217</c:v>
                </c:pt>
                <c:pt idx="6">
                  <c:v>1361581.101349168</c:v>
                </c:pt>
                <c:pt idx="7">
                  <c:v>875518.41779719701</c:v>
                </c:pt>
                <c:pt idx="8">
                  <c:v>224461.33446969694</c:v>
                </c:pt>
                <c:pt idx="9">
                  <c:v>420526.69546243688</c:v>
                </c:pt>
                <c:pt idx="10">
                  <c:v>1046401.4918414918</c:v>
                </c:pt>
                <c:pt idx="11">
                  <c:v>1761030.6788460377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3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POC cost VS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'Point of connection'!$B$5:$B$52</c:f>
              <c:numCache>
                <c:formatCode>General</c:formatCode>
                <c:ptCount val="48"/>
                <c:pt idx="0">
                  <c:v>27</c:v>
                </c:pt>
                <c:pt idx="1">
                  <c:v>14.3</c:v>
                </c:pt>
                <c:pt idx="2">
                  <c:v>24</c:v>
                </c:pt>
                <c:pt idx="3">
                  <c:v>28</c:v>
                </c:pt>
              </c:numCache>
            </c:numRef>
          </c:xVal>
          <c:yVal>
            <c:numRef>
              <c:f>'Point of connection'!$A$5:$A$52</c:f>
              <c:numCache>
                <c:formatCode>[$£-809]#,##0</c:formatCode>
                <c:ptCount val="48"/>
                <c:pt idx="0">
                  <c:v>736000</c:v>
                </c:pt>
                <c:pt idx="1">
                  <c:v>812704</c:v>
                </c:pt>
                <c:pt idx="2">
                  <c:v>529077</c:v>
                </c:pt>
                <c:pt idx="3">
                  <c:v>888700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89920"/>
        <c:axId val="473815120"/>
      </c:scatterChart>
      <c:valAx>
        <c:axId val="47468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815120"/>
        <c:crosses val="autoZero"/>
        <c:crossBetween val="midCat"/>
      </c:valAx>
      <c:valAx>
        <c:axId val="473815120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4689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SCADA cost VS no. of turbines</a:t>
            </a:r>
          </a:p>
        </c:rich>
      </c:tx>
      <c:layout>
        <c:manualLayout>
          <c:xMode val="edge"/>
          <c:yMode val="edge"/>
          <c:x val="0.17560575156362676"/>
          <c:y val="2.53565642055159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SCADA!$B$5:$B$52</c:f>
              <c:numCache>
                <c:formatCode>General</c:formatCode>
                <c:ptCount val="48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20</c:v>
                </c:pt>
              </c:numCache>
            </c:numRef>
          </c:xVal>
          <c:yVal>
            <c:numRef>
              <c:f>SCADA!$A$5:$A$52</c:f>
              <c:numCache>
                <c:formatCode>[$£-809]#,##0</c:formatCode>
                <c:ptCount val="48"/>
                <c:pt idx="0">
                  <c:v>47436</c:v>
                </c:pt>
                <c:pt idx="1">
                  <c:v>55000</c:v>
                </c:pt>
                <c:pt idx="2">
                  <c:v>200000</c:v>
                </c:pt>
                <c:pt idx="3">
                  <c:v>41420</c:v>
                </c:pt>
                <c:pt idx="4">
                  <c:v>38970</c:v>
                </c:pt>
                <c:pt idx="5">
                  <c:v>31880</c:v>
                </c:pt>
                <c:pt idx="6">
                  <c:v>29231</c:v>
                </c:pt>
                <c:pt idx="7">
                  <c:v>29231</c:v>
                </c:pt>
                <c:pt idx="8">
                  <c:v>29000</c:v>
                </c:pt>
                <c:pt idx="9">
                  <c:v>265000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819824"/>
        <c:axId val="475037656"/>
      </c:scatterChart>
      <c:valAx>
        <c:axId val="47381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turbines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037656"/>
        <c:crosses val="autoZero"/>
        <c:crossBetween val="midCat"/>
      </c:valAx>
      <c:valAx>
        <c:axId val="475037656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3819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Substation electrical cost VS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'Substation-electrical'!$B$5:$B$52</c:f>
              <c:numCache>
                <c:formatCode>General</c:formatCode>
                <c:ptCount val="48"/>
                <c:pt idx="0">
                  <c:v>27</c:v>
                </c:pt>
                <c:pt idx="1">
                  <c:v>14.3</c:v>
                </c:pt>
                <c:pt idx="2">
                  <c:v>10</c:v>
                </c:pt>
                <c:pt idx="3">
                  <c:v>24</c:v>
                </c:pt>
                <c:pt idx="4">
                  <c:v>28</c:v>
                </c:pt>
                <c:pt idx="5">
                  <c:v>24</c:v>
                </c:pt>
                <c:pt idx="6">
                  <c:v>24</c:v>
                </c:pt>
                <c:pt idx="7">
                  <c:v>50</c:v>
                </c:pt>
              </c:numCache>
            </c:numRef>
          </c:xVal>
          <c:yVal>
            <c:numRef>
              <c:f>'Substation-electrical'!$A$5:$A$52</c:f>
              <c:numCache>
                <c:formatCode>[$£-809]#,##0</c:formatCode>
                <c:ptCount val="48"/>
                <c:pt idx="0">
                  <c:v>300000</c:v>
                </c:pt>
                <c:pt idx="1">
                  <c:v>223744</c:v>
                </c:pt>
                <c:pt idx="2">
                  <c:v>250000</c:v>
                </c:pt>
                <c:pt idx="3">
                  <c:v>295388</c:v>
                </c:pt>
                <c:pt idx="4">
                  <c:v>415000</c:v>
                </c:pt>
                <c:pt idx="5">
                  <c:v>342000</c:v>
                </c:pt>
                <c:pt idx="6">
                  <c:v>279255</c:v>
                </c:pt>
                <c:pt idx="7">
                  <c:v>417000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038048"/>
        <c:axId val="475032952"/>
      </c:scatterChart>
      <c:valAx>
        <c:axId val="47503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032952"/>
        <c:crosses val="autoZero"/>
        <c:crossBetween val="midCat"/>
      </c:valAx>
      <c:valAx>
        <c:axId val="475032952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503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Transformer</a:t>
            </a:r>
            <a:r>
              <a:rPr lang="es-ES" baseline="0"/>
              <a:t> </a:t>
            </a:r>
            <a:r>
              <a:rPr lang="es-ES"/>
              <a:t>cost VS size of turbine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Transformers!$C$5:$C$52</c:f>
              <c:numCache>
                <c:formatCode>General</c:formatCode>
                <c:ptCount val="48"/>
                <c:pt idx="0">
                  <c:v>3</c:v>
                </c:pt>
                <c:pt idx="1">
                  <c:v>1.3</c:v>
                </c:pt>
                <c:pt idx="2">
                  <c:v>2.5</c:v>
                </c:pt>
              </c:numCache>
            </c:numRef>
          </c:xVal>
          <c:yVal>
            <c:numRef>
              <c:f>Transformers!$D$5:$D$52</c:f>
              <c:numCache>
                <c:formatCode>[$£-809]#,##0</c:formatCode>
                <c:ptCount val="48"/>
                <c:pt idx="0">
                  <c:v>53700</c:v>
                </c:pt>
                <c:pt idx="1">
                  <c:v>72118.181818181823</c:v>
                </c:pt>
                <c:pt idx="2">
                  <c:v>23550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035304"/>
        <c:axId val="475038832"/>
      </c:scatterChart>
      <c:valAx>
        <c:axId val="47503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5038832"/>
        <c:crosses val="autoZero"/>
        <c:crossBetween val="midCat"/>
      </c:valAx>
      <c:valAx>
        <c:axId val="475038832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5035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3188706720938E-2"/>
          <c:y val="4.4736842105263158E-2"/>
          <c:w val="0.92443802473593928"/>
          <c:h val="0.7921052631578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PLOTS'!$A$28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'BOX PLOTS'!$B$44:$L$44</c:f>
                <c:numCache>
                  <c:formatCode>General</c:formatCode>
                  <c:ptCount val="11"/>
                  <c:pt idx="0">
                    <c:v>138851.66666666663</c:v>
                  </c:pt>
                  <c:pt idx="1">
                    <c:v>423433.70398426615</c:v>
                  </c:pt>
                  <c:pt idx="2">
                    <c:v>90171.35374149651</c:v>
                  </c:pt>
                  <c:pt idx="3">
                    <c:v>196487.88116305188</c:v>
                  </c:pt>
                  <c:pt idx="4">
                    <c:v>71938.158252928537</c:v>
                  </c:pt>
                  <c:pt idx="5">
                    <c:v>100300.64674289676</c:v>
                  </c:pt>
                  <c:pt idx="6">
                    <c:v>238451.27229881869</c:v>
                  </c:pt>
                  <c:pt idx="7">
                    <c:v>147436.73245166289</c:v>
                  </c:pt>
                  <c:pt idx="8">
                    <c:v>33629</c:v>
                  </c:pt>
                  <c:pt idx="9">
                    <c:v>11933.156863375392</c:v>
                  </c:pt>
                  <c:pt idx="10">
                    <c:v>287700.74592074589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PLOTS'!$B$28:$L$28</c:f>
              <c:numCache>
                <c:formatCode>[$£-809]#,##0</c:formatCode>
                <c:ptCount val="11"/>
                <c:pt idx="0">
                  <c:v>243053.34457598196</c:v>
                </c:pt>
                <c:pt idx="1">
                  <c:v>2374377.8428004188</c:v>
                </c:pt>
                <c:pt idx="2">
                  <c:v>585415.08730158722</c:v>
                </c:pt>
                <c:pt idx="3">
                  <c:v>620136.3565108442</c:v>
                </c:pt>
                <c:pt idx="4">
                  <c:v>105538.01790197447</c:v>
                </c:pt>
                <c:pt idx="5">
                  <c:v>385600.64674289676</c:v>
                </c:pt>
                <c:pt idx="6">
                  <c:v>1042967.608644461</c:v>
                </c:pt>
                <c:pt idx="7">
                  <c:v>766133.046343558</c:v>
                </c:pt>
                <c:pt idx="8">
                  <c:v>184483.38295454544</c:v>
                </c:pt>
                <c:pt idx="9">
                  <c:v>412344.63594099047</c:v>
                </c:pt>
                <c:pt idx="10">
                  <c:v>758700.74592074589</c:v>
                </c:pt>
              </c:numCache>
            </c:numRef>
          </c:val>
        </c:ser>
        <c:ser>
          <c:idx val="1"/>
          <c:order val="1"/>
          <c:tx>
            <c:strRef>
              <c:f>'BOX PLOTS'!$A$36</c:f>
              <c:strCache>
                <c:ptCount val="1"/>
                <c:pt idx="0">
                  <c:v>Q2-Q1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PLOTS'!$B$36:$L$36</c:f>
              <c:numCache>
                <c:formatCode>General</c:formatCode>
                <c:ptCount val="11"/>
                <c:pt idx="0">
                  <c:v>85746.25</c:v>
                </c:pt>
                <c:pt idx="1">
                  <c:v>750371.29601573385</c:v>
                </c:pt>
                <c:pt idx="2">
                  <c:v>67121.954081632779</c:v>
                </c:pt>
                <c:pt idx="3">
                  <c:v>114286.74579907779</c:v>
                </c:pt>
                <c:pt idx="4">
                  <c:v>95617.964196051063</c:v>
                </c:pt>
                <c:pt idx="5">
                  <c:v>623419.29994802491</c:v>
                </c:pt>
                <c:pt idx="6">
                  <c:v>318613.49270470697</c:v>
                </c:pt>
                <c:pt idx="7">
                  <c:v>109385.371453639</c:v>
                </c:pt>
                <c:pt idx="8">
                  <c:v>39977.951515151508</c:v>
                </c:pt>
                <c:pt idx="9">
                  <c:v>8182.059521446412</c:v>
                </c:pt>
                <c:pt idx="10">
                  <c:v>287700.74592074589</c:v>
                </c:pt>
              </c:numCache>
            </c:numRef>
          </c:val>
        </c:ser>
        <c:ser>
          <c:idx val="2"/>
          <c:order val="2"/>
          <c:tx>
            <c:strRef>
              <c:f>'BOX PLOTS'!$A$37</c:f>
              <c:strCache>
                <c:ptCount val="1"/>
                <c:pt idx="0">
                  <c:v>Q3-Q2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'BOX PLOTS'!$B$43:$L$43</c:f>
                <c:numCache>
                  <c:formatCode>General</c:formatCode>
                  <c:ptCount val="11"/>
                  <c:pt idx="0">
                    <c:v>178406.07859429845</c:v>
                  </c:pt>
                  <c:pt idx="1">
                    <c:v>124294.46859987825</c:v>
                  </c:pt>
                  <c:pt idx="2">
                    <c:v>63776.918083900353</c:v>
                  </c:pt>
                  <c:pt idx="3">
                    <c:v>176850.46610158437</c:v>
                  </c:pt>
                  <c:pt idx="4">
                    <c:v>307323.28542023333</c:v>
                  </c:pt>
                  <c:pt idx="5">
                    <c:v>1890741.0462577967</c:v>
                  </c:pt>
                  <c:pt idx="6">
                    <c:v>1169680.3069055863</c:v>
                  </c:pt>
                  <c:pt idx="7">
                    <c:v>21580.136529260664</c:v>
                  </c:pt>
                  <c:pt idx="8">
                    <c:v>38436.415530303057</c:v>
                  </c:pt>
                  <c:pt idx="9">
                    <c:v>61922.667363008019</c:v>
                  </c:pt>
                  <c:pt idx="10">
                    <c:v>231099.28205128224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PLOTS'!$B$37:$L$37</c:f>
              <c:numCache>
                <c:formatCode>General</c:formatCode>
                <c:ptCount val="11"/>
                <c:pt idx="0">
                  <c:v>328794.32682971959</c:v>
                </c:pt>
                <c:pt idx="1">
                  <c:v>1629956.392583969</c:v>
                </c:pt>
                <c:pt idx="2">
                  <c:v>76338.979308389942</c:v>
                </c:pt>
                <c:pt idx="3">
                  <c:v>161253.15624070133</c:v>
                </c:pt>
                <c:pt idx="4">
                  <c:v>109264.22608410454</c:v>
                </c:pt>
                <c:pt idx="5">
                  <c:v>637074.73089050595</c:v>
                </c:pt>
                <c:pt idx="6">
                  <c:v>461173.37856568396</c:v>
                </c:pt>
                <c:pt idx="7">
                  <c:v>67433.172812838224</c:v>
                </c:pt>
                <c:pt idx="8">
                  <c:v>2102.25</c:v>
                </c:pt>
                <c:pt idx="9">
                  <c:v>33099.718720558914</c:v>
                </c:pt>
                <c:pt idx="10">
                  <c:v>231099.282051282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92832"/>
        <c:axId val="159494400"/>
      </c:barChart>
      <c:lineChart>
        <c:grouping val="standard"/>
        <c:varyColors val="0"/>
        <c:ser>
          <c:idx val="4"/>
          <c:order val="3"/>
          <c:tx>
            <c:v>Min Outlier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PLOTS'!$B$47:$L$47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3"/>
          <c:order val="4"/>
          <c:tx>
            <c:v>Max Outlier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PLOTS'!$B$46:$L$46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987008.57490272517</c:v>
                </c:pt>
                <c:pt idx="5">
                  <c:v>4343564.6467428971</c:v>
                </c:pt>
                <c:pt idx="6">
                  <c:v>3087624.2898232201</c:v>
                </c:pt>
                <c:pt idx="7">
                  <c:v>#N/A</c:v>
                </c:pt>
                <c:pt idx="8">
                  <c:v>#N/A</c:v>
                </c:pt>
                <c:pt idx="9">
                  <c:v>523870.71539797005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92832"/>
        <c:axId val="159494400"/>
      </c:lineChart>
      <c:catAx>
        <c:axId val="1594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4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94400"/>
        <c:scaling>
          <c:orientation val="minMax"/>
        </c:scaling>
        <c:delete val="0"/>
        <c:axPos val="l"/>
        <c:numFmt formatCode="[$£-809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4928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Crane</a:t>
            </a:r>
            <a:r>
              <a:rPr lang="es-ES" baseline="0"/>
              <a:t> p</a:t>
            </a:r>
            <a:r>
              <a:rPr lang="es-ES"/>
              <a:t>ad cost VS size of turbine MW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89600531777103"/>
          <c:y val="0.17169303680300149"/>
          <c:w val="0.83606856405519148"/>
          <c:h val="0.63078682562798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'Crane Pads'!$C$5:$C$52</c:f>
              <c:numCache>
                <c:formatCode>General</c:formatCode>
                <c:ptCount val="48"/>
                <c:pt idx="0">
                  <c:v>2.9</c:v>
                </c:pt>
                <c:pt idx="1">
                  <c:v>1.3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2.5</c:v>
                </c:pt>
              </c:numCache>
            </c:numRef>
          </c:xVal>
          <c:yVal>
            <c:numRef>
              <c:f>'Crane Pads'!$D$5:$D$52</c:f>
              <c:numCache>
                <c:formatCode>[$£-809]#,##0</c:formatCode>
                <c:ptCount val="48"/>
                <c:pt idx="0">
                  <c:v>35000</c:v>
                </c:pt>
                <c:pt idx="1">
                  <c:v>31181.81818181818</c:v>
                </c:pt>
                <c:pt idx="2">
                  <c:v>21155.625</c:v>
                </c:pt>
                <c:pt idx="3">
                  <c:v>12653.5</c:v>
                </c:pt>
                <c:pt idx="4">
                  <c:v>12552</c:v>
                </c:pt>
                <c:pt idx="5">
                  <c:v>5674.666666666667</c:v>
                </c:pt>
                <c:pt idx="6">
                  <c:v>12639</c:v>
                </c:pt>
                <c:pt idx="7">
                  <c:v>41800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94008"/>
        <c:axId val="473817472"/>
      </c:scatterChart>
      <c:valAx>
        <c:axId val="15949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size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817472"/>
        <c:crosses val="autoZero"/>
        <c:crossBetween val="midCat"/>
      </c:valAx>
      <c:valAx>
        <c:axId val="473817472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59494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Foundation</a:t>
            </a:r>
            <a:r>
              <a:rPr lang="es-ES" baseline="0"/>
              <a:t> </a:t>
            </a:r>
            <a:r>
              <a:rPr lang="es-ES"/>
              <a:t>cost VS size of turbine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1325043744531932"/>
                  <c:y val="-4.3844585000645413E-2"/>
                </c:manualLayout>
              </c:layout>
              <c:numFmt formatCode="General" sourceLinked="0"/>
            </c:trendlineLbl>
          </c:trendline>
          <c:xVal>
            <c:numRef>
              <c:f>Foundations!$C$5:$C$52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2.5</c:v>
                </c:pt>
              </c:numCache>
            </c:numRef>
          </c:xVal>
          <c:yVal>
            <c:numRef>
              <c:f>Foundations!$D$5:$D$52</c:f>
              <c:numCache>
                <c:formatCode>[$£-809]#,##0</c:formatCode>
                <c:ptCount val="48"/>
                <c:pt idx="0">
                  <c:v>85057.454545454544</c:v>
                </c:pt>
                <c:pt idx="1">
                  <c:v>113976.33333333333</c:v>
                </c:pt>
                <c:pt idx="2">
                  <c:v>227500</c:v>
                </c:pt>
                <c:pt idx="3">
                  <c:v>232157.14285714287</c:v>
                </c:pt>
                <c:pt idx="4">
                  <c:v>108842.5</c:v>
                </c:pt>
                <c:pt idx="5">
                  <c:v>167532.75</c:v>
                </c:pt>
                <c:pt idx="6">
                  <c:v>243950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818256"/>
        <c:axId val="473817080"/>
      </c:scatterChart>
      <c:valAx>
        <c:axId val="47381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Turbine size (MW)</a:t>
                </a:r>
              </a:p>
            </c:rich>
          </c:tx>
          <c:layout>
            <c:manualLayout>
              <c:xMode val="edge"/>
              <c:yMode val="edge"/>
              <c:x val="0.41753237095363077"/>
              <c:y val="0.875803278688524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73817080"/>
        <c:crosses val="autoZero"/>
        <c:crossBetween val="midCat"/>
      </c:valAx>
      <c:valAx>
        <c:axId val="473817080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3818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Substation civil cost VS WF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layout>
        <c:manualLayout>
          <c:xMode val="edge"/>
          <c:yMode val="edge"/>
          <c:x val="0.10126173877193831"/>
          <c:y val="2.53565642055159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'Substation-civil'!$B$5:$B$52</c:f>
              <c:numCache>
                <c:formatCode>General</c:formatCode>
                <c:ptCount val="48"/>
                <c:pt idx="0">
                  <c:v>14</c:v>
                </c:pt>
                <c:pt idx="1">
                  <c:v>48</c:v>
                </c:pt>
                <c:pt idx="2">
                  <c:v>24</c:v>
                </c:pt>
                <c:pt idx="3">
                  <c:v>24</c:v>
                </c:pt>
                <c:pt idx="4">
                  <c:v>9</c:v>
                </c:pt>
                <c:pt idx="5">
                  <c:v>9</c:v>
                </c:pt>
                <c:pt idx="6">
                  <c:v>50</c:v>
                </c:pt>
              </c:numCache>
            </c:numRef>
          </c:xVal>
          <c:yVal>
            <c:numRef>
              <c:f>'Substation-civil'!$A$5:$A$52</c:f>
              <c:numCache>
                <c:formatCode>[$£-809]#,##0</c:formatCode>
                <c:ptCount val="48"/>
                <c:pt idx="0">
                  <c:v>317157</c:v>
                </c:pt>
                <c:pt idx="1">
                  <c:v>618000</c:v>
                </c:pt>
                <c:pt idx="2">
                  <c:v>151830</c:v>
                </c:pt>
                <c:pt idx="3">
                  <c:v>183000</c:v>
                </c:pt>
                <c:pt idx="4">
                  <c:v>135215</c:v>
                </c:pt>
                <c:pt idx="5">
                  <c:v>111000</c:v>
                </c:pt>
                <c:pt idx="6">
                  <c:v>781000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813552"/>
        <c:axId val="473813944"/>
      </c:scatterChart>
      <c:valAx>
        <c:axId val="47381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Wind</a:t>
                </a:r>
                <a:r>
                  <a:rPr lang="es-ES" baseline="0"/>
                  <a:t> farm size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813944"/>
        <c:crosses val="autoZero"/>
        <c:crossBetween val="midCat"/>
      </c:valAx>
      <c:valAx>
        <c:axId val="473813944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3813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VS size of turbine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'Road Construction'!$C$5:$C$52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3</c:v>
                </c:pt>
                <c:pt idx="4">
                  <c:v>3</c:v>
                </c:pt>
                <c:pt idx="5">
                  <c:v>2.5</c:v>
                </c:pt>
              </c:numCache>
            </c:numRef>
          </c:xVal>
          <c:yVal>
            <c:numRef>
              <c:f>'Road Construction'!$D$5:$D$52</c:f>
              <c:numCache>
                <c:formatCode>[$£-809]#,##0</c:formatCode>
                <c:ptCount val="48"/>
                <c:pt idx="0">
                  <c:v>77908.727272727279</c:v>
                </c:pt>
                <c:pt idx="1">
                  <c:v>117212.8</c:v>
                </c:pt>
                <c:pt idx="2">
                  <c:v>104375</c:v>
                </c:pt>
                <c:pt idx="3">
                  <c:v>49028.888888888891</c:v>
                </c:pt>
                <c:pt idx="4">
                  <c:v>66962.222222222219</c:v>
                </c:pt>
                <c:pt idx="5">
                  <c:v>80600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816296"/>
        <c:axId val="474690312"/>
      </c:scatterChart>
      <c:valAx>
        <c:axId val="47381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</a:t>
                </a:r>
                <a:r>
                  <a:rPr lang="en-US" baseline="0"/>
                  <a:t> size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4690312"/>
        <c:crosses val="autoZero"/>
        <c:crossBetween val="midCat"/>
      </c:valAx>
      <c:valAx>
        <c:axId val="474690312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3816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VS size of turbine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'Road Upgrade'!$C$5:$C$52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'Road Upgrade'!$D$5:$D$52</c:f>
              <c:numCache>
                <c:formatCode>[$£-809]#,##0</c:formatCode>
                <c:ptCount val="48"/>
                <c:pt idx="0">
                  <c:v>58318.913043478264</c:v>
                </c:pt>
                <c:pt idx="1">
                  <c:v>19538.8</c:v>
                </c:pt>
                <c:pt idx="2">
                  <c:v>196774.19354838709</c:v>
                </c:pt>
                <c:pt idx="3">
                  <c:v>8288.775510204081</c:v>
                </c:pt>
                <c:pt idx="4">
                  <c:v>41800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84824"/>
        <c:axId val="474687568"/>
      </c:scatterChart>
      <c:valAx>
        <c:axId val="474684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size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4687568"/>
        <c:crosses val="autoZero"/>
        <c:crossBetween val="midCat"/>
      </c:valAx>
      <c:valAx>
        <c:axId val="474687568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4684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per size of turbine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'Cabling to substation'!$C$5:$C$52</c:f>
              <c:numCache>
                <c:formatCode>General</c:formatCode>
                <c:ptCount val="48"/>
                <c:pt idx="0">
                  <c:v>2</c:v>
                </c:pt>
                <c:pt idx="1">
                  <c:v>3</c:v>
                </c:pt>
                <c:pt idx="2">
                  <c:v>1.3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2.5</c:v>
                </c:pt>
              </c:numCache>
            </c:numRef>
          </c:xVal>
          <c:yVal>
            <c:numRef>
              <c:f>'Cabling to substation'!$D$5:$D$52</c:f>
              <c:numCache>
                <c:formatCode>[$£-809]#,##0</c:formatCode>
                <c:ptCount val="48"/>
                <c:pt idx="0">
                  <c:v>144690.27027027027</c:v>
                </c:pt>
                <c:pt idx="1">
                  <c:v>512000</c:v>
                </c:pt>
                <c:pt idx="2">
                  <c:v>56777.777777777781</c:v>
                </c:pt>
                <c:pt idx="3">
                  <c:v>180000</c:v>
                </c:pt>
                <c:pt idx="4">
                  <c:v>67551.076923076922</c:v>
                </c:pt>
                <c:pt idx="5">
                  <c:v>66888.888888888891</c:v>
                </c:pt>
                <c:pt idx="6">
                  <c:v>74005.333333333328</c:v>
                </c:pt>
                <c:pt idx="7">
                  <c:v>31700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88352"/>
        <c:axId val="474686000"/>
      </c:scatterChart>
      <c:valAx>
        <c:axId val="47468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power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4686000"/>
        <c:crosses val="autoZero"/>
        <c:crossBetween val="midCat"/>
      </c:valAx>
      <c:valAx>
        <c:axId val="474686000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4688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per size of wind farm MW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'Cabling to grid'!$C$5:$C$52</c:f>
              <c:numCache>
                <c:formatCode>General</c:formatCode>
                <c:ptCount val="48"/>
                <c:pt idx="0">
                  <c:v>24</c:v>
                </c:pt>
                <c:pt idx="1">
                  <c:v>27</c:v>
                </c:pt>
                <c:pt idx="2">
                  <c:v>14.3</c:v>
                </c:pt>
                <c:pt idx="3">
                  <c:v>24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xVal>
          <c:yVal>
            <c:numRef>
              <c:f>'Cabling to grid'!$D$5:$D$52</c:f>
              <c:numCache>
                <c:formatCode>[$£-809]#,##0</c:formatCode>
                <c:ptCount val="48"/>
                <c:pt idx="0">
                  <c:v>126000</c:v>
                </c:pt>
                <c:pt idx="1">
                  <c:v>272800</c:v>
                </c:pt>
                <c:pt idx="2">
                  <c:v>241725.38461538462</c:v>
                </c:pt>
                <c:pt idx="3">
                  <c:v>231500</c:v>
                </c:pt>
                <c:pt idx="4">
                  <c:v>176000</c:v>
                </c:pt>
                <c:pt idx="5">
                  <c:v>124000</c:v>
                </c:pt>
                <c:pt idx="6">
                  <c:v>109333.33333333333</c:v>
                </c:pt>
                <c:pt idx="7">
                  <c:v>101000</c:v>
                </c:pt>
                <c:pt idx="8">
                  <c:v>146000</c:v>
                </c:pt>
                <c:pt idx="9">
                  <c:v>120000</c:v>
                </c:pt>
                <c:pt idx="10">
                  <c:v>112000</c:v>
                </c:pt>
                <c:pt idx="11">
                  <c:v>107500</c:v>
                </c:pt>
                <c:pt idx="12">
                  <c:v>156000</c:v>
                </c:pt>
                <c:pt idx="13">
                  <c:v>130000</c:v>
                </c:pt>
                <c:pt idx="14">
                  <c:v>568000</c:v>
                </c:pt>
                <c:pt idx="15">
                  <c:v>454000</c:v>
                </c:pt>
                <c:pt idx="16">
                  <c:v>396000</c:v>
                </c:pt>
                <c:pt idx="17">
                  <c:v>367000</c:v>
                </c:pt>
                <c:pt idx="18">
                  <c:v>589000</c:v>
                </c:pt>
                <c:pt idx="19">
                  <c:v>516000</c:v>
                </c:pt>
                <c:pt idx="20">
                  <c:v>379500</c:v>
                </c:pt>
                <c:pt idx="21">
                  <c:v>337777.76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84432"/>
        <c:axId val="474685216"/>
      </c:scatterChart>
      <c:valAx>
        <c:axId val="47468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4685216"/>
        <c:crosses val="autoZero"/>
        <c:crossBetween val="midCat"/>
      </c:valAx>
      <c:valAx>
        <c:axId val="474685216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474684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powersystems.co.uk/dgis/connection_opportunities.asp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hyperlink" Target="http://www.strath.ac.uk/esru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1304925</xdr:colOff>
      <xdr:row>0</xdr:row>
      <xdr:rowOff>38101</xdr:rowOff>
    </xdr:from>
    <xdr:to>
      <xdr:col>9</xdr:col>
      <xdr:colOff>9524</xdr:colOff>
      <xdr:row>3</xdr:row>
      <xdr:rowOff>75887</xdr:rowOff>
    </xdr:to>
    <xdr:pic>
      <xdr:nvPicPr>
        <xdr:cNvPr id="2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84" r="1066" b="33905"/>
        <a:stretch/>
      </xdr:blipFill>
      <xdr:spPr bwMode="auto">
        <a:xfrm>
          <a:off x="10001250" y="38101"/>
          <a:ext cx="1714499" cy="609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95251</xdr:colOff>
      <xdr:row>2</xdr:row>
      <xdr:rowOff>76200</xdr:rowOff>
    </xdr:from>
    <xdr:to>
      <xdr:col>6</xdr:col>
      <xdr:colOff>2809875</xdr:colOff>
      <xdr:row>26</xdr:row>
      <xdr:rowOff>28576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19</xdr:row>
      <xdr:rowOff>9524</xdr:rowOff>
    </xdr:from>
    <xdr:to>
      <xdr:col>7</xdr:col>
      <xdr:colOff>1390650</xdr:colOff>
      <xdr:row>22</xdr:row>
      <xdr:rowOff>85724</xdr:rowOff>
    </xdr:to>
    <xdr:sp macro="" textlink="">
      <xdr:nvSpPr>
        <xdr:cNvPr id="4" name="3 CuadroTexto">
          <a:hlinkClick xmlns:r="http://schemas.openxmlformats.org/officeDocument/2006/relationships" r:id="rId3"/>
        </xdr:cNvPr>
        <xdr:cNvSpPr txBox="1"/>
      </xdr:nvSpPr>
      <xdr:spPr>
        <a:xfrm>
          <a:off x="8715375" y="3686174"/>
          <a:ext cx="1343025" cy="647700"/>
        </a:xfrm>
        <a:prstGeom prst="rect">
          <a:avLst/>
        </a:prstGeom>
        <a:solidFill>
          <a:schemeClr val="bg1">
            <a:lumMod val="85000"/>
          </a:schemeClr>
        </a:solidFill>
        <a:ln w="2857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Tw Cen MT" pitchFamily="34" charset="0"/>
            </a:rPr>
            <a:t>FIND</a:t>
          </a:r>
          <a:r>
            <a:rPr lang="es-ES" sz="1800" b="1" baseline="0">
              <a:latin typeface="Tw Cen MT" pitchFamily="34" charset="0"/>
            </a:rPr>
            <a:t> LOCATION</a:t>
          </a:r>
        </a:p>
      </xdr:txBody>
    </xdr:sp>
    <xdr:clientData/>
  </xdr:twoCellAnchor>
  <xdr:twoCellAnchor>
    <xdr:from>
      <xdr:col>7</xdr:col>
      <xdr:colOff>1600200</xdr:colOff>
      <xdr:row>19</xdr:row>
      <xdr:rowOff>0</xdr:rowOff>
    </xdr:from>
    <xdr:to>
      <xdr:col>8</xdr:col>
      <xdr:colOff>1123950</xdr:colOff>
      <xdr:row>22</xdr:row>
      <xdr:rowOff>76200</xdr:rowOff>
    </xdr:to>
    <xdr:sp macro="" textlink="">
      <xdr:nvSpPr>
        <xdr:cNvPr id="5" name="4 CuadroTexto">
          <a:hlinkClick xmlns:r="http://schemas.openxmlformats.org/officeDocument/2006/relationships" r:id="rId4"/>
        </xdr:cNvPr>
        <xdr:cNvSpPr txBox="1"/>
      </xdr:nvSpPr>
      <xdr:spPr>
        <a:xfrm>
          <a:off x="10267950" y="3676650"/>
          <a:ext cx="1343025" cy="647700"/>
        </a:xfrm>
        <a:prstGeom prst="rect">
          <a:avLst/>
        </a:prstGeom>
        <a:solidFill>
          <a:schemeClr val="bg1">
            <a:lumMod val="85000"/>
          </a:schemeClr>
        </a:solidFill>
        <a:ln w="2857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Tw Cen MT" pitchFamily="34" charset="0"/>
            </a:rPr>
            <a:t>GUIDE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10</xdr:row>
      <xdr:rowOff>185736</xdr:rowOff>
    </xdr:from>
    <xdr:to>
      <xdr:col>10</xdr:col>
      <xdr:colOff>495300</xdr:colOff>
      <xdr:row>26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11</xdr:row>
      <xdr:rowOff>23811</xdr:rowOff>
    </xdr:from>
    <xdr:to>
      <xdr:col>10</xdr:col>
      <xdr:colOff>552450</xdr:colOff>
      <xdr:row>26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10</xdr:row>
      <xdr:rowOff>185736</xdr:rowOff>
    </xdr:from>
    <xdr:to>
      <xdr:col>11</xdr:col>
      <xdr:colOff>47625</xdr:colOff>
      <xdr:row>26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10</xdr:row>
      <xdr:rowOff>114300</xdr:rowOff>
    </xdr:from>
    <xdr:to>
      <xdr:col>10</xdr:col>
      <xdr:colOff>657225</xdr:colOff>
      <xdr:row>26</xdr:row>
      <xdr:rowOff>114300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12</xdr:col>
      <xdr:colOff>0</xdr:colOff>
      <xdr:row>24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10</xdr:row>
      <xdr:rowOff>0</xdr:rowOff>
    </xdr:from>
    <xdr:to>
      <xdr:col>12</xdr:col>
      <xdr:colOff>57150</xdr:colOff>
      <xdr:row>26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9</xdr:row>
      <xdr:rowOff>152400</xdr:rowOff>
    </xdr:from>
    <xdr:to>
      <xdr:col>11</xdr:col>
      <xdr:colOff>19050</xdr:colOff>
      <xdr:row>25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10</xdr:row>
      <xdr:rowOff>166686</xdr:rowOff>
    </xdr:from>
    <xdr:to>
      <xdr:col>10</xdr:col>
      <xdr:colOff>419100</xdr:colOff>
      <xdr:row>26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</xdr:row>
      <xdr:rowOff>85725</xdr:rowOff>
    </xdr:from>
    <xdr:to>
      <xdr:col>10</xdr:col>
      <xdr:colOff>704850</xdr:colOff>
      <xdr:row>24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10</xdr:row>
      <xdr:rowOff>66676</xdr:rowOff>
    </xdr:from>
    <xdr:to>
      <xdr:col>11</xdr:col>
      <xdr:colOff>142875</xdr:colOff>
      <xdr:row>25</xdr:row>
      <xdr:rowOff>66676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10</xdr:row>
      <xdr:rowOff>152401</xdr:rowOff>
    </xdr:from>
    <xdr:to>
      <xdr:col>11</xdr:col>
      <xdr:colOff>9525</xdr:colOff>
      <xdr:row>23</xdr:row>
      <xdr:rowOff>133351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10</xdr:row>
      <xdr:rowOff>85726</xdr:rowOff>
    </xdr:from>
    <xdr:to>
      <xdr:col>10</xdr:col>
      <xdr:colOff>723901</xdr:colOff>
      <xdr:row>25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zoomScale="75" zoomScaleNormal="75" workbookViewId="0">
      <selection activeCell="E32" sqref="E32"/>
    </sheetView>
  </sheetViews>
  <sheetFormatPr defaultColWidth="9.109375" defaultRowHeight="14.4" x14ac:dyDescent="0.3"/>
  <cols>
    <col min="1" max="1" width="32.33203125" customWidth="1"/>
    <col min="2" max="2" width="18.44140625" customWidth="1"/>
    <col min="7" max="7" width="42.6640625" customWidth="1"/>
    <col min="8" max="8" width="27.33203125" customWidth="1"/>
    <col min="9" max="9" width="17.88671875" customWidth="1"/>
  </cols>
  <sheetData>
    <row r="1" spans="1:10" x14ac:dyDescent="0.3">
      <c r="A1" s="72" t="s">
        <v>61</v>
      </c>
      <c r="B1" s="73"/>
      <c r="C1" s="73"/>
      <c r="D1" s="73"/>
      <c r="E1" s="73"/>
      <c r="F1" s="73"/>
      <c r="G1" s="73"/>
      <c r="H1" s="2"/>
      <c r="I1" s="74"/>
      <c r="J1" s="2"/>
    </row>
    <row r="2" spans="1:10" x14ac:dyDescent="0.3">
      <c r="A2" s="73"/>
      <c r="B2" s="73"/>
      <c r="C2" s="73"/>
      <c r="D2" s="73"/>
      <c r="E2" s="73"/>
      <c r="F2" s="73"/>
      <c r="G2" s="73"/>
      <c r="H2" s="2"/>
      <c r="I2" s="74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6" x14ac:dyDescent="0.35">
      <c r="A5" s="3" t="s">
        <v>12</v>
      </c>
      <c r="B5" s="9" t="s">
        <v>13</v>
      </c>
      <c r="C5" s="2"/>
      <c r="D5" s="2"/>
      <c r="E5" s="2"/>
      <c r="F5" s="2"/>
      <c r="G5" s="2"/>
      <c r="H5" s="2"/>
      <c r="I5" s="2"/>
      <c r="J5" s="2"/>
    </row>
    <row r="6" spans="1:10" ht="15" customHeight="1" x14ac:dyDescent="0.3">
      <c r="A6" s="6" t="s">
        <v>0</v>
      </c>
      <c r="B6" s="7">
        <f>'BOX PLOTS'!B29</f>
        <v>328799.59457598196</v>
      </c>
      <c r="C6" s="2"/>
      <c r="D6" s="2"/>
      <c r="E6" s="2"/>
      <c r="F6" s="2"/>
      <c r="G6" s="2"/>
      <c r="H6" s="57" t="s">
        <v>2</v>
      </c>
      <c r="I6" s="60">
        <v>20</v>
      </c>
      <c r="J6" s="2"/>
    </row>
    <row r="7" spans="1:10" x14ac:dyDescent="0.3">
      <c r="A7" s="6" t="s">
        <v>1</v>
      </c>
      <c r="B7" s="7">
        <f>'BOX PLOTS'!C29</f>
        <v>3124749.1388161527</v>
      </c>
      <c r="C7" s="2"/>
      <c r="D7" s="2"/>
      <c r="E7" s="2"/>
      <c r="F7" s="2"/>
      <c r="G7" s="2"/>
      <c r="H7" s="4" t="s">
        <v>9</v>
      </c>
      <c r="I7" s="61">
        <v>2.5</v>
      </c>
      <c r="J7" s="2"/>
    </row>
    <row r="8" spans="1:10" x14ac:dyDescent="0.3">
      <c r="A8" s="6" t="s">
        <v>16</v>
      </c>
      <c r="B8" s="7">
        <f>'BOX PLOTS'!D29</f>
        <v>652537.04138322</v>
      </c>
      <c r="C8" s="2"/>
      <c r="D8" s="2"/>
      <c r="E8" s="2"/>
      <c r="F8" s="2"/>
      <c r="G8" s="2"/>
      <c r="H8" s="4" t="s">
        <v>8</v>
      </c>
      <c r="I8" s="5">
        <f>I6*I7</f>
        <v>50</v>
      </c>
      <c r="J8" s="2"/>
    </row>
    <row r="9" spans="1:10" x14ac:dyDescent="0.3">
      <c r="A9" s="6" t="s">
        <v>5</v>
      </c>
      <c r="B9" s="7">
        <f>'BOX PLOTS'!F29</f>
        <v>201155.98209802553</v>
      </c>
      <c r="C9" s="2"/>
      <c r="D9" s="2"/>
      <c r="E9" s="2"/>
      <c r="F9" s="2"/>
      <c r="G9" s="2"/>
      <c r="H9" s="15"/>
      <c r="I9" s="16"/>
      <c r="J9" s="2"/>
    </row>
    <row r="10" spans="1:10" x14ac:dyDescent="0.3">
      <c r="A10" s="6" t="s">
        <v>6</v>
      </c>
      <c r="B10" s="7">
        <f>'BOX PLOTS'!E29</f>
        <v>734423.10230992199</v>
      </c>
      <c r="C10" s="2"/>
      <c r="D10" s="2"/>
      <c r="E10" s="2"/>
      <c r="F10" s="2"/>
      <c r="G10" s="2"/>
      <c r="H10" s="4" t="s">
        <v>35</v>
      </c>
      <c r="I10" s="2"/>
      <c r="J10" s="2"/>
    </row>
    <row r="11" spans="1:10" x14ac:dyDescent="0.3">
      <c r="A11" s="6" t="s">
        <v>4</v>
      </c>
      <c r="B11" s="7">
        <f>'BOX PLOTS'!G29</f>
        <v>1009019.9466909217</v>
      </c>
      <c r="C11" s="2"/>
      <c r="D11" s="2"/>
      <c r="E11" s="2"/>
      <c r="F11" s="2"/>
      <c r="G11" s="2"/>
      <c r="H11" s="4" t="s">
        <v>56</v>
      </c>
      <c r="I11" s="62">
        <v>9</v>
      </c>
      <c r="J11" s="2"/>
    </row>
    <row r="12" spans="1:10" x14ac:dyDescent="0.3">
      <c r="A12" s="6" t="s">
        <v>3</v>
      </c>
      <c r="B12" s="7">
        <f>'BOX PLOTS'!H29</f>
        <v>1361581.101349168</v>
      </c>
      <c r="C12" s="2"/>
      <c r="D12" s="2"/>
      <c r="E12" s="2"/>
      <c r="F12" s="2"/>
      <c r="G12" s="2"/>
      <c r="H12" s="4" t="s">
        <v>60</v>
      </c>
      <c r="I12" s="62">
        <v>5</v>
      </c>
      <c r="J12" s="2"/>
    </row>
    <row r="13" spans="1:10" x14ac:dyDescent="0.3">
      <c r="A13" s="6" t="s">
        <v>111</v>
      </c>
      <c r="B13" s="7">
        <f>'BOX PLOTS'!I29</f>
        <v>875518.41779719701</v>
      </c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6" t="s">
        <v>7</v>
      </c>
      <c r="B14" s="7">
        <f>'BOX PLOTS'!J29</f>
        <v>224461.33446969694</v>
      </c>
      <c r="C14" s="2"/>
      <c r="D14" s="2"/>
      <c r="E14" s="2"/>
      <c r="F14" s="2"/>
      <c r="G14" s="2"/>
      <c r="H14" s="4" t="s">
        <v>17</v>
      </c>
      <c r="I14" s="2"/>
      <c r="J14" s="2"/>
    </row>
    <row r="15" spans="1:10" x14ac:dyDescent="0.3">
      <c r="A15" s="6" t="s">
        <v>15</v>
      </c>
      <c r="B15" s="7">
        <f>'BOX PLOTS'!K29</f>
        <v>420526.69546243688</v>
      </c>
      <c r="C15" s="2"/>
      <c r="D15" s="2"/>
      <c r="E15" s="2"/>
      <c r="F15" s="2"/>
      <c r="G15" s="2"/>
      <c r="H15" s="4" t="s">
        <v>57</v>
      </c>
      <c r="I15" s="62">
        <v>9</v>
      </c>
      <c r="J15" s="2"/>
    </row>
    <row r="16" spans="1:10" x14ac:dyDescent="0.3">
      <c r="A16" s="6" t="s">
        <v>14</v>
      </c>
      <c r="B16" s="7">
        <f>'BOX PLOTS'!L29</f>
        <v>1046401.4918414918</v>
      </c>
      <c r="C16" s="2"/>
      <c r="D16" s="2"/>
      <c r="E16" s="2"/>
      <c r="F16" s="2"/>
      <c r="G16" s="2"/>
      <c r="H16" s="4" t="s">
        <v>58</v>
      </c>
      <c r="I16" s="62">
        <v>5</v>
      </c>
      <c r="J16" s="2"/>
    </row>
    <row r="17" spans="1:10" ht="15" thickBot="1" x14ac:dyDescent="0.35">
      <c r="A17" s="8" t="s">
        <v>108</v>
      </c>
      <c r="B17" s="7">
        <f>SUM(B6:B16)*I18/(1-I18)</f>
        <v>1761030.6788460377</v>
      </c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75" t="s">
        <v>10</v>
      </c>
      <c r="B18" s="77">
        <f>SUM(B6:B17)</f>
        <v>11740204.525640251</v>
      </c>
      <c r="C18" s="2"/>
      <c r="D18" s="2"/>
      <c r="E18" s="2"/>
      <c r="F18" s="2"/>
      <c r="G18" s="2"/>
      <c r="H18" s="4" t="s">
        <v>109</v>
      </c>
      <c r="I18" s="63">
        <v>0.15</v>
      </c>
      <c r="J18" s="2"/>
    </row>
    <row r="19" spans="1:10" ht="15" thickBot="1" x14ac:dyDescent="0.35">
      <c r="A19" s="76"/>
      <c r="B19" s="78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" thickBot="1" x14ac:dyDescent="0.35">
      <c r="A23" s="64" t="s">
        <v>110</v>
      </c>
      <c r="B23" s="59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sheetProtection sheet="1" objects="1" scenarios="1"/>
  <mergeCells count="4">
    <mergeCell ref="A1:G2"/>
    <mergeCell ref="I1:I2"/>
    <mergeCell ref="A18:A19"/>
    <mergeCell ref="B18:B19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F10" sqref="F10"/>
    </sheetView>
  </sheetViews>
  <sheetFormatPr defaultColWidth="9.109375" defaultRowHeight="14.4" x14ac:dyDescent="0.3"/>
  <cols>
    <col min="1" max="1" width="16.6640625" customWidth="1"/>
    <col min="2" max="2" width="23.88671875" customWidth="1"/>
    <col min="3" max="4" width="16.6640625" customWidth="1"/>
    <col min="6" max="6" width="27.5546875" customWidth="1"/>
    <col min="7" max="7" width="11" customWidth="1"/>
    <col min="9" max="9" width="11.109375" bestFit="1" customWidth="1"/>
  </cols>
  <sheetData>
    <row r="1" spans="1:9" ht="15" thickBot="1" x14ac:dyDescent="0.35"/>
    <row r="2" spans="1:9" ht="30" customHeight="1" thickBot="1" x14ac:dyDescent="0.35">
      <c r="A2" s="82" t="s">
        <v>39</v>
      </c>
      <c r="B2" s="83"/>
      <c r="C2" s="84"/>
      <c r="D2" s="85" t="s">
        <v>66</v>
      </c>
      <c r="F2" s="92" t="s">
        <v>40</v>
      </c>
      <c r="G2" s="94">
        <f>SUM(A5:A52)/COUNTIF(A5:A52,"&gt;0")</f>
        <v>741620.25</v>
      </c>
      <c r="I2" s="10"/>
    </row>
    <row r="3" spans="1:9" ht="15" customHeight="1" thickBot="1" x14ac:dyDescent="0.35">
      <c r="A3" s="79" t="s">
        <v>62</v>
      </c>
      <c r="B3" s="81"/>
      <c r="C3" s="19" t="s">
        <v>63</v>
      </c>
      <c r="D3" s="86"/>
      <c r="F3" s="93"/>
      <c r="G3" s="95"/>
    </row>
    <row r="4" spans="1:9" ht="15" thickBot="1" x14ac:dyDescent="0.35">
      <c r="A4" s="24" t="s">
        <v>23</v>
      </c>
      <c r="B4" s="25" t="s">
        <v>30</v>
      </c>
      <c r="C4" s="30" t="s">
        <v>18</v>
      </c>
      <c r="D4" s="87"/>
      <c r="F4" s="92" t="s">
        <v>24</v>
      </c>
      <c r="G4" s="94">
        <f>SUM(C5:C52)/COUNTIF(C5:C52,"&gt;0")</f>
        <v>34468.966881498134</v>
      </c>
      <c r="H4" s="12"/>
      <c r="I4" s="13"/>
    </row>
    <row r="5" spans="1:9" ht="15" thickBot="1" x14ac:dyDescent="0.35">
      <c r="A5" s="48">
        <v>736000</v>
      </c>
      <c r="B5" s="50">
        <v>27</v>
      </c>
      <c r="C5" s="31">
        <f>IF(ISNUMBER(A5/B5),A5/B5,0)</f>
        <v>27259.259259259259</v>
      </c>
      <c r="D5" s="20">
        <f>IF(A5&gt;0,A5+(COST!$I$8-B5)*$G$4*$G$9,0)</f>
        <v>815278.62382744567</v>
      </c>
      <c r="F5" s="93"/>
      <c r="G5" s="95"/>
      <c r="H5" s="11"/>
    </row>
    <row r="6" spans="1:9" x14ac:dyDescent="0.3">
      <c r="A6" s="48">
        <v>812704</v>
      </c>
      <c r="B6" s="50">
        <v>14.3</v>
      </c>
      <c r="C6" s="31">
        <f t="shared" ref="C6:C52" si="0">IF(ISNUMBER(A6/B6),A6/B6,0)</f>
        <v>56832.447552447549</v>
      </c>
      <c r="D6" s="21">
        <f>IF(A6&gt;0,A6+(COST!$I$8-B6)*$G$4*$G$9,0)</f>
        <v>935758.21176694834</v>
      </c>
      <c r="F6" s="88" t="s">
        <v>54</v>
      </c>
      <c r="G6" s="90">
        <f>SUM(B5:B52)/COUNTIF(B5:B52,"&gt;0")</f>
        <v>23.324999999999999</v>
      </c>
    </row>
    <row r="7" spans="1:9" ht="15" thickBot="1" x14ac:dyDescent="0.35">
      <c r="A7" s="55">
        <v>529077</v>
      </c>
      <c r="B7" s="50">
        <v>24</v>
      </c>
      <c r="C7" s="31">
        <f t="shared" si="0"/>
        <v>22044.875</v>
      </c>
      <c r="D7" s="21">
        <f>IF(A7&gt;0,A7+(COST!$I$8-B7)*$G$4*$G$9,0)</f>
        <v>618696.31389189512</v>
      </c>
      <c r="F7" s="89"/>
      <c r="G7" s="91"/>
      <c r="H7" s="10"/>
    </row>
    <row r="8" spans="1:9" ht="15" thickBot="1" x14ac:dyDescent="0.35">
      <c r="A8" s="48">
        <v>888700</v>
      </c>
      <c r="B8" s="56">
        <v>28</v>
      </c>
      <c r="C8" s="31">
        <f t="shared" si="0"/>
        <v>31739.285714285714</v>
      </c>
      <c r="D8" s="21">
        <f>IF(A8&gt;0,A8+(COST!$I$8-B8)*$G$4*$G$9,0)</f>
        <v>964531.72713929589</v>
      </c>
    </row>
    <row r="9" spans="1:9" ht="15" thickBot="1" x14ac:dyDescent="0.35">
      <c r="A9" s="48"/>
      <c r="B9" s="50"/>
      <c r="C9" s="31">
        <f t="shared" si="0"/>
        <v>0</v>
      </c>
      <c r="D9" s="21">
        <f>IF(A9&gt;0,A9+(COST!$I$8-B9)*$G$4*$G$9,0)</f>
        <v>0</v>
      </c>
      <c r="F9" s="17" t="s">
        <v>55</v>
      </c>
      <c r="G9" s="54">
        <v>0.1</v>
      </c>
    </row>
    <row r="10" spans="1:9" x14ac:dyDescent="0.3">
      <c r="A10" s="48"/>
      <c r="B10" s="50"/>
      <c r="C10" s="31">
        <f t="shared" si="0"/>
        <v>0</v>
      </c>
      <c r="D10" s="21">
        <f>IF(A10&gt;0,A10+(COST!$I$8-B10)*$G$4*$G$9,0)</f>
        <v>0</v>
      </c>
      <c r="F10" s="1"/>
      <c r="G10" s="1"/>
      <c r="I10" s="1"/>
    </row>
    <row r="11" spans="1:9" x14ac:dyDescent="0.3">
      <c r="A11" s="48"/>
      <c r="B11" s="50"/>
      <c r="C11" s="31">
        <f t="shared" si="0"/>
        <v>0</v>
      </c>
      <c r="D11" s="21">
        <f>IF(A11&gt;0,A11+(COST!$I$8-B11)*$G$4*$G$9,0)</f>
        <v>0</v>
      </c>
    </row>
    <row r="12" spans="1:9" x14ac:dyDescent="0.3">
      <c r="A12" s="48"/>
      <c r="B12" s="50"/>
      <c r="C12" s="31">
        <f t="shared" si="0"/>
        <v>0</v>
      </c>
      <c r="D12" s="21">
        <f>IF(A12&gt;0,A12+(COST!$I$8-B12)*$G$4*$G$9,0)</f>
        <v>0</v>
      </c>
    </row>
    <row r="13" spans="1:9" x14ac:dyDescent="0.3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3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3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3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3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3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3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3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3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3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3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3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3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3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3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3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3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3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3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3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3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3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3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3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3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3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3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3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3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3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3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3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3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3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3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3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3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3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3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" thickBot="1" x14ac:dyDescent="0.35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D2:D4"/>
    <mergeCell ref="A2:C2"/>
    <mergeCell ref="A3:B3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B15" sqref="B15"/>
    </sheetView>
  </sheetViews>
  <sheetFormatPr defaultColWidth="9.109375" defaultRowHeight="14.4" x14ac:dyDescent="0.3"/>
  <cols>
    <col min="1" max="1" width="16.6640625" customWidth="1"/>
    <col min="2" max="2" width="23.88671875" customWidth="1"/>
    <col min="3" max="4" width="16.6640625" customWidth="1"/>
    <col min="6" max="6" width="27.5546875" customWidth="1"/>
    <col min="7" max="7" width="11" customWidth="1"/>
    <col min="9" max="9" width="11.109375" bestFit="1" customWidth="1"/>
  </cols>
  <sheetData>
    <row r="1" spans="1:9" ht="15" thickBot="1" x14ac:dyDescent="0.35"/>
    <row r="2" spans="1:9" ht="27" customHeight="1" thickBot="1" x14ac:dyDescent="0.35">
      <c r="A2" s="82" t="s">
        <v>41</v>
      </c>
      <c r="B2" s="83"/>
      <c r="C2" s="84"/>
      <c r="D2" s="85" t="s">
        <v>74</v>
      </c>
      <c r="F2" s="92" t="s">
        <v>44</v>
      </c>
      <c r="G2" s="94">
        <f>SUM(A5:A52)/COUNTIF(A5:A52,"&gt;0")</f>
        <v>76716.800000000003</v>
      </c>
      <c r="I2" s="10"/>
    </row>
    <row r="3" spans="1:9" ht="15.75" customHeight="1" thickBot="1" x14ac:dyDescent="0.35">
      <c r="A3" s="79" t="s">
        <v>62</v>
      </c>
      <c r="B3" s="81"/>
      <c r="C3" s="19" t="s">
        <v>63</v>
      </c>
      <c r="D3" s="86"/>
      <c r="F3" s="93"/>
      <c r="G3" s="95"/>
    </row>
    <row r="4" spans="1:9" ht="15" thickBot="1" x14ac:dyDescent="0.35">
      <c r="A4" s="24" t="s">
        <v>23</v>
      </c>
      <c r="B4" s="25" t="s">
        <v>42</v>
      </c>
      <c r="C4" s="30" t="s">
        <v>43</v>
      </c>
      <c r="D4" s="87"/>
      <c r="F4" s="92" t="s">
        <v>45</v>
      </c>
      <c r="G4" s="94">
        <f>SUM(C5:C52)/COUNTIF(C5:C52,"&gt;0")</f>
        <v>8839.1780303030282</v>
      </c>
      <c r="H4" s="12"/>
      <c r="I4" s="13"/>
    </row>
    <row r="5" spans="1:9" ht="15" thickBot="1" x14ac:dyDescent="0.35">
      <c r="A5" s="48">
        <v>47436</v>
      </c>
      <c r="B5" s="50">
        <v>11</v>
      </c>
      <c r="C5" s="31">
        <f>IF(ISNUMBER(A5/B5),A5/B5,0)</f>
        <v>4312.363636363636</v>
      </c>
      <c r="D5" s="20">
        <f>IF(A5&gt;0,A5+(COST!$I$6-B5)*$G$4*$G$9,0)</f>
        <v>150854.38295454544</v>
      </c>
      <c r="F5" s="93"/>
      <c r="G5" s="95"/>
      <c r="H5" s="11"/>
    </row>
    <row r="6" spans="1:9" x14ac:dyDescent="0.3">
      <c r="A6" s="48">
        <v>55000</v>
      </c>
      <c r="B6" s="50">
        <v>5</v>
      </c>
      <c r="C6" s="31">
        <f t="shared" ref="C6:C52" si="0">IF(ISNUMBER(A6/B6),A6/B6,0)</f>
        <v>11000</v>
      </c>
      <c r="D6" s="21">
        <f>IF(A6&gt;0,A6+(COST!$I$6-B6)*$G$4*$G$9,0)</f>
        <v>227363.97159090903</v>
      </c>
      <c r="F6" s="88" t="s">
        <v>59</v>
      </c>
      <c r="G6" s="90">
        <f>SUM(B5:B52)/COUNTIF(B5:B52,"&gt;0")</f>
        <v>8.4</v>
      </c>
    </row>
    <row r="7" spans="1:9" ht="15" thickBot="1" x14ac:dyDescent="0.35">
      <c r="A7" s="55">
        <v>200000</v>
      </c>
      <c r="B7" s="50">
        <v>20</v>
      </c>
      <c r="C7" s="31">
        <f t="shared" si="0"/>
        <v>10000</v>
      </c>
      <c r="D7" s="21">
        <f>IF(A7&gt;0,A7+(COST!$I$6-B7)*$G$4*$G$9,0)</f>
        <v>200000</v>
      </c>
      <c r="F7" s="89"/>
      <c r="G7" s="91"/>
      <c r="H7" s="10"/>
    </row>
    <row r="8" spans="1:9" ht="15" thickBot="1" x14ac:dyDescent="0.35">
      <c r="A8" s="48">
        <v>41420</v>
      </c>
      <c r="B8" s="56">
        <v>8</v>
      </c>
      <c r="C8" s="31">
        <f t="shared" si="0"/>
        <v>5177.5</v>
      </c>
      <c r="D8" s="21">
        <f>IF(A8&gt;0,A8+(COST!$I$6-B8)*$G$4*$G$9,0)</f>
        <v>179311.17727272725</v>
      </c>
    </row>
    <row r="9" spans="1:9" ht="15" thickBot="1" x14ac:dyDescent="0.35">
      <c r="A9" s="48">
        <v>38970</v>
      </c>
      <c r="B9" s="50">
        <v>8</v>
      </c>
      <c r="C9" s="31">
        <f t="shared" si="0"/>
        <v>4871.25</v>
      </c>
      <c r="D9" s="21">
        <f>IF(A9&gt;0,A9+(COST!$I$6-B9)*$G$4*$G$9,0)</f>
        <v>176861.17727272725</v>
      </c>
      <c r="F9" s="17" t="s">
        <v>55</v>
      </c>
      <c r="G9" s="54">
        <v>1.3</v>
      </c>
    </row>
    <row r="10" spans="1:9" x14ac:dyDescent="0.3">
      <c r="A10" s="48">
        <v>31880</v>
      </c>
      <c r="B10" s="50">
        <v>3</v>
      </c>
      <c r="C10" s="31">
        <f t="shared" si="0"/>
        <v>10626.666666666666</v>
      </c>
      <c r="D10" s="21">
        <f>IF(A10&gt;0,A10+(COST!$I$6-B10)*$G$4*$G$9,0)</f>
        <v>227225.83446969694</v>
      </c>
      <c r="F10" s="1"/>
      <c r="G10" s="1"/>
      <c r="I10" s="1"/>
    </row>
    <row r="11" spans="1:9" x14ac:dyDescent="0.3">
      <c r="A11" s="48">
        <v>29231</v>
      </c>
      <c r="B11" s="50">
        <v>3</v>
      </c>
      <c r="C11" s="31">
        <f t="shared" si="0"/>
        <v>9743.6666666666661</v>
      </c>
      <c r="D11" s="21">
        <f>IF(A11&gt;0,A11+(COST!$I$6-B11)*$G$4*$G$9,0)</f>
        <v>224576.83446969694</v>
      </c>
    </row>
    <row r="12" spans="1:9" x14ac:dyDescent="0.3">
      <c r="A12" s="48">
        <v>29231</v>
      </c>
      <c r="B12" s="50">
        <v>3</v>
      </c>
      <c r="C12" s="31">
        <f t="shared" si="0"/>
        <v>9743.6666666666661</v>
      </c>
      <c r="D12" s="21">
        <f>IF(A12&gt;0,A12+(COST!$I$6-B12)*$G$4*$G$9,0)</f>
        <v>224576.83446969694</v>
      </c>
    </row>
    <row r="13" spans="1:9" x14ac:dyDescent="0.3">
      <c r="A13" s="48">
        <v>29000</v>
      </c>
      <c r="B13" s="50">
        <v>3</v>
      </c>
      <c r="C13" s="31">
        <f t="shared" si="0"/>
        <v>9666.6666666666661</v>
      </c>
      <c r="D13" s="21">
        <f>IF(A13&gt;0,A13+(COST!$I$6-B13)*$G$4*$G$9,0)</f>
        <v>224345.83446969694</v>
      </c>
    </row>
    <row r="14" spans="1:9" x14ac:dyDescent="0.3">
      <c r="A14" s="48">
        <v>265000</v>
      </c>
      <c r="B14" s="50">
        <v>20</v>
      </c>
      <c r="C14" s="31">
        <f t="shared" si="0"/>
        <v>13250</v>
      </c>
      <c r="D14" s="21">
        <f>IF(A14&gt;0,A14+(COST!$I$6-B14)*$G$4*$G$9,0)</f>
        <v>265000</v>
      </c>
    </row>
    <row r="15" spans="1:9" x14ac:dyDescent="0.3">
      <c r="A15" s="48"/>
      <c r="B15" s="50"/>
      <c r="C15" s="31">
        <f t="shared" si="0"/>
        <v>0</v>
      </c>
      <c r="D15" s="21">
        <f>IF(A15&gt;0,A15+(COST!$I$6-B15)*$G$4*$G$9,0)</f>
        <v>0</v>
      </c>
    </row>
    <row r="16" spans="1:9" x14ac:dyDescent="0.3">
      <c r="A16" s="48"/>
      <c r="B16" s="50"/>
      <c r="C16" s="31">
        <f t="shared" si="0"/>
        <v>0</v>
      </c>
      <c r="D16" s="21">
        <f>IF(A16&gt;0,A16+(COST!$I$6-B16)*$G$4*$G$9,0)</f>
        <v>0</v>
      </c>
    </row>
    <row r="17" spans="1:4" x14ac:dyDescent="0.3">
      <c r="A17" s="48"/>
      <c r="B17" s="50"/>
      <c r="C17" s="31">
        <f t="shared" si="0"/>
        <v>0</v>
      </c>
      <c r="D17" s="21">
        <f>IF(A17&gt;0,A17+(COST!$I$6-B17)*$G$4*$G$9,0)</f>
        <v>0</v>
      </c>
    </row>
    <row r="18" spans="1:4" x14ac:dyDescent="0.3">
      <c r="A18" s="48"/>
      <c r="B18" s="50"/>
      <c r="C18" s="31">
        <f t="shared" si="0"/>
        <v>0</v>
      </c>
      <c r="D18" s="21">
        <f>IF(A18&gt;0,A18+(COST!$I$6-B18)*$G$4*$G$9,0)</f>
        <v>0</v>
      </c>
    </row>
    <row r="19" spans="1:4" x14ac:dyDescent="0.3">
      <c r="A19" s="48"/>
      <c r="B19" s="50"/>
      <c r="C19" s="31">
        <f t="shared" si="0"/>
        <v>0</v>
      </c>
      <c r="D19" s="21">
        <f>IF(A19&gt;0,A19+(COST!$I$6-B19)*$G$4*$G$9,0)</f>
        <v>0</v>
      </c>
    </row>
    <row r="20" spans="1:4" x14ac:dyDescent="0.3">
      <c r="A20" s="48"/>
      <c r="B20" s="50"/>
      <c r="C20" s="31">
        <f t="shared" si="0"/>
        <v>0</v>
      </c>
      <c r="D20" s="21">
        <f>IF(A20&gt;0,A20+(COST!$I$6-B20)*$G$4*$G$9,0)</f>
        <v>0</v>
      </c>
    </row>
    <row r="21" spans="1:4" x14ac:dyDescent="0.3">
      <c r="A21" s="48"/>
      <c r="B21" s="50"/>
      <c r="C21" s="31">
        <f t="shared" si="0"/>
        <v>0</v>
      </c>
      <c r="D21" s="21">
        <f>IF(A21&gt;0,A21+(COST!$I$6-B21)*$G$4*$G$9,0)</f>
        <v>0</v>
      </c>
    </row>
    <row r="22" spans="1:4" x14ac:dyDescent="0.3">
      <c r="A22" s="48"/>
      <c r="B22" s="50"/>
      <c r="C22" s="31">
        <f t="shared" si="0"/>
        <v>0</v>
      </c>
      <c r="D22" s="21">
        <f>IF(A22&gt;0,A22+(COST!$I$6-B22)*$G$4*$G$9,0)</f>
        <v>0</v>
      </c>
    </row>
    <row r="23" spans="1:4" x14ac:dyDescent="0.3">
      <c r="A23" s="48"/>
      <c r="B23" s="50"/>
      <c r="C23" s="31">
        <f t="shared" si="0"/>
        <v>0</v>
      </c>
      <c r="D23" s="21">
        <f>IF(A23&gt;0,A23+(COST!$I$6-B23)*$G$4*$G$9,0)</f>
        <v>0</v>
      </c>
    </row>
    <row r="24" spans="1:4" x14ac:dyDescent="0.3">
      <c r="A24" s="48"/>
      <c r="B24" s="50"/>
      <c r="C24" s="31">
        <f t="shared" si="0"/>
        <v>0</v>
      </c>
      <c r="D24" s="21">
        <f>IF(A24&gt;0,A24+(COST!$I$6-B24)*$G$4*$G$9,0)</f>
        <v>0</v>
      </c>
    </row>
    <row r="25" spans="1:4" x14ac:dyDescent="0.3">
      <c r="A25" s="48"/>
      <c r="B25" s="50"/>
      <c r="C25" s="31">
        <f t="shared" si="0"/>
        <v>0</v>
      </c>
      <c r="D25" s="21">
        <f>IF(A25&gt;0,A25+(COST!$I$6-B25)*$G$4*$G$9,0)</f>
        <v>0</v>
      </c>
    </row>
    <row r="26" spans="1:4" x14ac:dyDescent="0.3">
      <c r="A26" s="48"/>
      <c r="B26" s="50"/>
      <c r="C26" s="31">
        <f t="shared" si="0"/>
        <v>0</v>
      </c>
      <c r="D26" s="21">
        <f>IF(A26&gt;0,A26+(COST!$I$6-B26)*$G$4*$G$9,0)</f>
        <v>0</v>
      </c>
    </row>
    <row r="27" spans="1:4" x14ac:dyDescent="0.3">
      <c r="A27" s="48"/>
      <c r="B27" s="50"/>
      <c r="C27" s="31">
        <f t="shared" si="0"/>
        <v>0</v>
      </c>
      <c r="D27" s="21">
        <f>IF(A27&gt;0,A27+(COST!$I$6-B27)*$G$4*$G$9,0)</f>
        <v>0</v>
      </c>
    </row>
    <row r="28" spans="1:4" x14ac:dyDescent="0.3">
      <c r="A28" s="48"/>
      <c r="B28" s="50"/>
      <c r="C28" s="31">
        <f t="shared" si="0"/>
        <v>0</v>
      </c>
      <c r="D28" s="21">
        <f>IF(A28&gt;0,A28+(COST!$I$6-B28)*$G$4*$G$9,0)</f>
        <v>0</v>
      </c>
    </row>
    <row r="29" spans="1:4" x14ac:dyDescent="0.3">
      <c r="A29" s="48"/>
      <c r="B29" s="50"/>
      <c r="C29" s="31">
        <f t="shared" si="0"/>
        <v>0</v>
      </c>
      <c r="D29" s="21">
        <f>IF(A29&gt;0,A29+(COST!$I$6-B29)*$G$4*$G$9,0)</f>
        <v>0</v>
      </c>
    </row>
    <row r="30" spans="1:4" x14ac:dyDescent="0.3">
      <c r="A30" s="48"/>
      <c r="B30" s="50"/>
      <c r="C30" s="31">
        <f t="shared" si="0"/>
        <v>0</v>
      </c>
      <c r="D30" s="21">
        <f>IF(A30&gt;0,A30+(COST!$I$6-B30)*$G$4*$G$9,0)</f>
        <v>0</v>
      </c>
    </row>
    <row r="31" spans="1:4" x14ac:dyDescent="0.3">
      <c r="A31" s="48"/>
      <c r="B31" s="50"/>
      <c r="C31" s="31">
        <f t="shared" si="0"/>
        <v>0</v>
      </c>
      <c r="D31" s="21">
        <f>IF(A31&gt;0,A31+(COST!$I$6-B31)*$G$4*$G$9,0)</f>
        <v>0</v>
      </c>
    </row>
    <row r="32" spans="1:4" x14ac:dyDescent="0.3">
      <c r="A32" s="48"/>
      <c r="B32" s="50"/>
      <c r="C32" s="31">
        <f t="shared" si="0"/>
        <v>0</v>
      </c>
      <c r="D32" s="21">
        <f>IF(A32&gt;0,A32+(COST!$I$6-B32)*$G$4*$G$9,0)</f>
        <v>0</v>
      </c>
    </row>
    <row r="33" spans="1:4" x14ac:dyDescent="0.3">
      <c r="A33" s="48"/>
      <c r="B33" s="50"/>
      <c r="C33" s="31">
        <f t="shared" si="0"/>
        <v>0</v>
      </c>
      <c r="D33" s="21">
        <f>IF(A33&gt;0,A33+(COST!$I$6-B33)*$G$4*$G$9,0)</f>
        <v>0</v>
      </c>
    </row>
    <row r="34" spans="1:4" x14ac:dyDescent="0.3">
      <c r="A34" s="48"/>
      <c r="B34" s="50"/>
      <c r="C34" s="31">
        <f t="shared" si="0"/>
        <v>0</v>
      </c>
      <c r="D34" s="21">
        <f>IF(A34&gt;0,A34+(COST!$I$6-B34)*$G$4*$G$9,0)</f>
        <v>0</v>
      </c>
    </row>
    <row r="35" spans="1:4" x14ac:dyDescent="0.3">
      <c r="A35" s="48"/>
      <c r="B35" s="50"/>
      <c r="C35" s="31">
        <f t="shared" si="0"/>
        <v>0</v>
      </c>
      <c r="D35" s="21">
        <f>IF(A35&gt;0,A35+(COST!$I$6-B35)*$G$4*$G$9,0)</f>
        <v>0</v>
      </c>
    </row>
    <row r="36" spans="1:4" x14ac:dyDescent="0.3">
      <c r="A36" s="48"/>
      <c r="B36" s="50"/>
      <c r="C36" s="31">
        <f t="shared" si="0"/>
        <v>0</v>
      </c>
      <c r="D36" s="21">
        <f>IF(A36&gt;0,A36+(COST!$I$6-B36)*$G$4*$G$9,0)</f>
        <v>0</v>
      </c>
    </row>
    <row r="37" spans="1:4" x14ac:dyDescent="0.3">
      <c r="A37" s="48"/>
      <c r="B37" s="50"/>
      <c r="C37" s="31">
        <f t="shared" si="0"/>
        <v>0</v>
      </c>
      <c r="D37" s="21">
        <f>IF(A37&gt;0,A37+(COST!$I$6-B37)*$G$4*$G$9,0)</f>
        <v>0</v>
      </c>
    </row>
    <row r="38" spans="1:4" x14ac:dyDescent="0.3">
      <c r="A38" s="48"/>
      <c r="B38" s="50"/>
      <c r="C38" s="31">
        <f t="shared" si="0"/>
        <v>0</v>
      </c>
      <c r="D38" s="21">
        <f>IF(A38&gt;0,A38+(COST!$I$6-B38)*$G$4*$G$9,0)</f>
        <v>0</v>
      </c>
    </row>
    <row r="39" spans="1:4" x14ac:dyDescent="0.3">
      <c r="A39" s="48"/>
      <c r="B39" s="50"/>
      <c r="C39" s="31">
        <f t="shared" si="0"/>
        <v>0</v>
      </c>
      <c r="D39" s="21">
        <f>IF(A39&gt;0,A39+(COST!$I$6-B39)*$G$4*$G$9,0)</f>
        <v>0</v>
      </c>
    </row>
    <row r="40" spans="1:4" x14ac:dyDescent="0.3">
      <c r="A40" s="48"/>
      <c r="B40" s="50"/>
      <c r="C40" s="31">
        <f t="shared" si="0"/>
        <v>0</v>
      </c>
      <c r="D40" s="21">
        <f>IF(A40&gt;0,A40+(COST!$I$6-B40)*$G$4*$G$9,0)</f>
        <v>0</v>
      </c>
    </row>
    <row r="41" spans="1:4" x14ac:dyDescent="0.3">
      <c r="A41" s="48"/>
      <c r="B41" s="50"/>
      <c r="C41" s="31">
        <f t="shared" si="0"/>
        <v>0</v>
      </c>
      <c r="D41" s="21">
        <f>IF(A41&gt;0,A41+(COST!$I$6-B41)*$G$4*$G$9,0)</f>
        <v>0</v>
      </c>
    </row>
    <row r="42" spans="1:4" x14ac:dyDescent="0.3">
      <c r="A42" s="48"/>
      <c r="B42" s="50"/>
      <c r="C42" s="31">
        <f t="shared" si="0"/>
        <v>0</v>
      </c>
      <c r="D42" s="21">
        <f>IF(A42&gt;0,A42+(COST!$I$6-B42)*$G$4*$G$9,0)</f>
        <v>0</v>
      </c>
    </row>
    <row r="43" spans="1:4" x14ac:dyDescent="0.3">
      <c r="A43" s="48"/>
      <c r="B43" s="50"/>
      <c r="C43" s="31">
        <f t="shared" si="0"/>
        <v>0</v>
      </c>
      <c r="D43" s="21">
        <f>IF(A43&gt;0,A43+(COST!$I$6-B43)*$G$4*$G$9,0)</f>
        <v>0</v>
      </c>
    </row>
    <row r="44" spans="1:4" x14ac:dyDescent="0.3">
      <c r="A44" s="48"/>
      <c r="B44" s="50"/>
      <c r="C44" s="31">
        <f t="shared" si="0"/>
        <v>0</v>
      </c>
      <c r="D44" s="21">
        <f>IF(A44&gt;0,A44+(COST!$I$6-B44)*$G$4*$G$9,0)</f>
        <v>0</v>
      </c>
    </row>
    <row r="45" spans="1:4" x14ac:dyDescent="0.3">
      <c r="A45" s="48"/>
      <c r="B45" s="50"/>
      <c r="C45" s="31">
        <f t="shared" si="0"/>
        <v>0</v>
      </c>
      <c r="D45" s="21">
        <f>IF(A45&gt;0,A45+(COST!$I$6-B45)*$G$4*$G$9,0)</f>
        <v>0</v>
      </c>
    </row>
    <row r="46" spans="1:4" x14ac:dyDescent="0.3">
      <c r="A46" s="48"/>
      <c r="B46" s="50"/>
      <c r="C46" s="31">
        <f t="shared" si="0"/>
        <v>0</v>
      </c>
      <c r="D46" s="21">
        <f>IF(A46&gt;0,A46+(COST!$I$6-B46)*$G$4*$G$9,0)</f>
        <v>0</v>
      </c>
    </row>
    <row r="47" spans="1:4" x14ac:dyDescent="0.3">
      <c r="A47" s="48"/>
      <c r="B47" s="50"/>
      <c r="C47" s="31">
        <f t="shared" si="0"/>
        <v>0</v>
      </c>
      <c r="D47" s="21">
        <f>IF(A47&gt;0,A47+(COST!$I$6-B47)*$G$4*$G$9,0)</f>
        <v>0</v>
      </c>
    </row>
    <row r="48" spans="1:4" x14ac:dyDescent="0.3">
      <c r="A48" s="48"/>
      <c r="B48" s="50"/>
      <c r="C48" s="31">
        <f t="shared" si="0"/>
        <v>0</v>
      </c>
      <c r="D48" s="21">
        <f>IF(A48&gt;0,A48+(COST!$I$6-B48)*$G$4*$G$9,0)</f>
        <v>0</v>
      </c>
    </row>
    <row r="49" spans="1:4" x14ac:dyDescent="0.3">
      <c r="A49" s="48"/>
      <c r="B49" s="50"/>
      <c r="C49" s="31">
        <f t="shared" si="0"/>
        <v>0</v>
      </c>
      <c r="D49" s="21">
        <f>IF(A49&gt;0,A49+(COST!$I$6-B49)*$G$4*$G$9,0)</f>
        <v>0</v>
      </c>
    </row>
    <row r="50" spans="1:4" x14ac:dyDescent="0.3">
      <c r="A50" s="48"/>
      <c r="B50" s="50"/>
      <c r="C50" s="31">
        <f t="shared" si="0"/>
        <v>0</v>
      </c>
      <c r="D50" s="21">
        <f>IF(A50&gt;0,A50+(COST!$I$6-B50)*$G$4*$G$9,0)</f>
        <v>0</v>
      </c>
    </row>
    <row r="51" spans="1:4" x14ac:dyDescent="0.3">
      <c r="A51" s="48"/>
      <c r="B51" s="50"/>
      <c r="C51" s="31">
        <f t="shared" si="0"/>
        <v>0</v>
      </c>
      <c r="D51" s="21">
        <f>IF(A51&gt;0,A51+(COST!$I$6-B51)*$G$4*$G$9,0)</f>
        <v>0</v>
      </c>
    </row>
    <row r="52" spans="1:4" ht="15" thickBot="1" x14ac:dyDescent="0.35">
      <c r="A52" s="51"/>
      <c r="B52" s="53"/>
      <c r="C52" s="32">
        <f t="shared" si="0"/>
        <v>0</v>
      </c>
      <c r="D52" s="22">
        <f>IF(A52&gt;0,A52+(COST!$I$6-B52)*$G$4*$G$9,0)</f>
        <v>0</v>
      </c>
    </row>
  </sheetData>
  <sheetProtection sheet="1" objects="1" scenarios="1"/>
  <mergeCells count="9">
    <mergeCell ref="A2:C2"/>
    <mergeCell ref="A3:B3"/>
    <mergeCell ref="D2:D4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D14" sqref="D14"/>
    </sheetView>
  </sheetViews>
  <sheetFormatPr defaultColWidth="9.109375" defaultRowHeight="14.4" x14ac:dyDescent="0.3"/>
  <cols>
    <col min="1" max="1" width="16.6640625" customWidth="1"/>
    <col min="2" max="2" width="23.88671875" customWidth="1"/>
    <col min="3" max="4" width="16.6640625" customWidth="1"/>
    <col min="6" max="6" width="27.5546875" customWidth="1"/>
    <col min="7" max="7" width="11" customWidth="1"/>
    <col min="9" max="9" width="11.109375" bestFit="1" customWidth="1"/>
  </cols>
  <sheetData>
    <row r="1" spans="1:9" ht="15" thickBot="1" x14ac:dyDescent="0.35"/>
    <row r="2" spans="1:9" ht="30" customHeight="1" thickBot="1" x14ac:dyDescent="0.35">
      <c r="A2" s="82" t="s">
        <v>46</v>
      </c>
      <c r="B2" s="83"/>
      <c r="C2" s="84"/>
      <c r="D2" s="85" t="s">
        <v>65</v>
      </c>
      <c r="F2" s="92" t="s">
        <v>29</v>
      </c>
      <c r="G2" s="94">
        <f>SUM(A5:A52)/COUNTIF(A5:A52,"&gt;0")</f>
        <v>315298.375</v>
      </c>
      <c r="I2" s="10"/>
    </row>
    <row r="3" spans="1:9" ht="15.75" customHeight="1" thickBot="1" x14ac:dyDescent="0.35">
      <c r="A3" s="79" t="s">
        <v>62</v>
      </c>
      <c r="B3" s="81"/>
      <c r="C3" s="19" t="s">
        <v>63</v>
      </c>
      <c r="D3" s="86"/>
      <c r="F3" s="93"/>
      <c r="G3" s="95"/>
    </row>
    <row r="4" spans="1:9" ht="15" thickBot="1" x14ac:dyDescent="0.35">
      <c r="A4" s="24" t="s">
        <v>23</v>
      </c>
      <c r="B4" s="25" t="s">
        <v>30</v>
      </c>
      <c r="C4" s="30" t="s">
        <v>18</v>
      </c>
      <c r="D4" s="87"/>
      <c r="F4" s="92" t="s">
        <v>24</v>
      </c>
      <c r="G4" s="94">
        <f>SUM(C5:C52)/COUNTIF(C5:C52,"&gt;0")</f>
        <v>14139.053947788323</v>
      </c>
      <c r="H4" s="12"/>
      <c r="I4" s="13"/>
    </row>
    <row r="5" spans="1:9" ht="15" thickBot="1" x14ac:dyDescent="0.35">
      <c r="A5" s="48">
        <v>300000</v>
      </c>
      <c r="B5" s="50">
        <v>27</v>
      </c>
      <c r="C5" s="31">
        <f>IF(ISNUMBER(A5/B5),A5/B5,0)</f>
        <v>11111.111111111111</v>
      </c>
      <c r="D5" s="20">
        <f>IF(A5&gt;0,A5+(COST!$I$8-B5)*$G$4*$G$9,0)</f>
        <v>413819.38427969604</v>
      </c>
      <c r="F5" s="93"/>
      <c r="G5" s="95"/>
      <c r="H5" s="11"/>
    </row>
    <row r="6" spans="1:9" x14ac:dyDescent="0.3">
      <c r="A6" s="48">
        <v>223744</v>
      </c>
      <c r="B6" s="50">
        <v>14.3</v>
      </c>
      <c r="C6" s="31">
        <f t="shared" ref="C6:C52" si="0">IF(ISNUMBER(A6/B6),A6/B6,0)</f>
        <v>15646.433566433565</v>
      </c>
      <c r="D6" s="21">
        <f>IF(A6&gt;0,A6+(COST!$I$8-B6)*$G$4*$G$9,0)</f>
        <v>400411.47907761508</v>
      </c>
      <c r="F6" s="88" t="s">
        <v>54</v>
      </c>
      <c r="G6" s="90">
        <f>SUM(B5:B52)/COUNTIF(B5:B52,"&gt;0")</f>
        <v>25.162500000000001</v>
      </c>
    </row>
    <row r="7" spans="1:9" ht="15" thickBot="1" x14ac:dyDescent="0.35">
      <c r="A7" s="55">
        <v>250000</v>
      </c>
      <c r="B7" s="50">
        <v>10</v>
      </c>
      <c r="C7" s="31">
        <f t="shared" si="0"/>
        <v>25000</v>
      </c>
      <c r="D7" s="21">
        <f>IF(A7&gt;0,A7+(COST!$I$8-B7)*$G$4*$G$9,0)</f>
        <v>447946.75526903651</v>
      </c>
      <c r="F7" s="89"/>
      <c r="G7" s="91"/>
      <c r="H7" s="10"/>
    </row>
    <row r="8" spans="1:9" ht="15" thickBot="1" x14ac:dyDescent="0.35">
      <c r="A8" s="48">
        <v>295388</v>
      </c>
      <c r="B8" s="50">
        <v>24</v>
      </c>
      <c r="C8" s="31">
        <f t="shared" si="0"/>
        <v>12307.833333333334</v>
      </c>
      <c r="D8" s="21">
        <f>IF(A8&gt;0,A8+(COST!$I$8-B8)*$G$4*$G$9,0)</f>
        <v>424053.39092487376</v>
      </c>
    </row>
    <row r="9" spans="1:9" ht="15" thickBot="1" x14ac:dyDescent="0.35">
      <c r="A9" s="48">
        <v>415000</v>
      </c>
      <c r="B9" s="50">
        <v>28</v>
      </c>
      <c r="C9" s="31">
        <f t="shared" si="0"/>
        <v>14821.428571428571</v>
      </c>
      <c r="D9" s="21">
        <f>IF(A9&gt;0,A9+(COST!$I$8-B9)*$G$4*$G$9,0)</f>
        <v>523870.71539797005</v>
      </c>
      <c r="F9" s="17" t="s">
        <v>55</v>
      </c>
      <c r="G9" s="54">
        <v>0.35</v>
      </c>
    </row>
    <row r="10" spans="1:9" x14ac:dyDescent="0.3">
      <c r="A10" s="48">
        <v>342000</v>
      </c>
      <c r="B10" s="50">
        <v>24</v>
      </c>
      <c r="C10" s="31">
        <f t="shared" si="0"/>
        <v>14250</v>
      </c>
      <c r="D10" s="21">
        <f>IF(A10&gt;0,A10+(COST!$I$8-B10)*$G$4*$G$9,0)</f>
        <v>470665.39092487376</v>
      </c>
      <c r="F10" s="1"/>
      <c r="G10" s="1"/>
      <c r="I10" s="1"/>
    </row>
    <row r="11" spans="1:9" x14ac:dyDescent="0.3">
      <c r="A11" s="48">
        <v>279255</v>
      </c>
      <c r="B11" s="50">
        <v>24</v>
      </c>
      <c r="C11" s="31">
        <f t="shared" si="0"/>
        <v>11635.625</v>
      </c>
      <c r="D11" s="21">
        <f>IF(A11&gt;0,A11+(COST!$I$8-B11)*$G$4*$G$9,0)</f>
        <v>407920.39092487376</v>
      </c>
    </row>
    <row r="12" spans="1:9" x14ac:dyDescent="0.3">
      <c r="A12" s="48">
        <v>417000</v>
      </c>
      <c r="B12" s="50">
        <v>50</v>
      </c>
      <c r="C12" s="31">
        <f t="shared" si="0"/>
        <v>8340</v>
      </c>
      <c r="D12" s="21">
        <f>IF(A12&gt;0,A12+(COST!$I$8-B12)*$G$4*$G$9,0)</f>
        <v>417000</v>
      </c>
    </row>
    <row r="13" spans="1:9" x14ac:dyDescent="0.3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3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3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3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3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3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3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3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3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3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3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3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3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3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3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3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3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3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3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3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3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3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3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3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3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3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3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3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3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3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3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3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3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3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3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3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3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3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3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" thickBot="1" x14ac:dyDescent="0.35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A2:C2"/>
    <mergeCell ref="A3:B3"/>
    <mergeCell ref="D2:D4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E19" sqref="E19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4" width="18.5546875" customWidth="1"/>
    <col min="5" max="5" width="16.6640625" customWidth="1"/>
    <col min="6" max="6" width="19.5546875" customWidth="1"/>
    <col min="8" max="8" width="28.33203125" customWidth="1"/>
    <col min="9" max="9" width="11" customWidth="1"/>
    <col min="11" max="11" width="11.109375" bestFit="1" customWidth="1"/>
  </cols>
  <sheetData>
    <row r="1" spans="1:11" ht="15" thickBot="1" x14ac:dyDescent="0.35"/>
    <row r="2" spans="1:11" ht="28.5" customHeight="1" thickBot="1" x14ac:dyDescent="0.35">
      <c r="A2" s="82" t="s">
        <v>47</v>
      </c>
      <c r="B2" s="83"/>
      <c r="C2" s="83"/>
      <c r="D2" s="83"/>
      <c r="E2" s="84"/>
      <c r="F2" s="85" t="s">
        <v>64</v>
      </c>
      <c r="H2" s="92" t="s">
        <v>49</v>
      </c>
      <c r="I2" s="94">
        <f>SUM(D5:D52)/COUNTIF(D5:D52,"&gt;0")</f>
        <v>49789.393939393944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11</v>
      </c>
      <c r="C4" s="25" t="s">
        <v>19</v>
      </c>
      <c r="D4" s="24" t="s">
        <v>48</v>
      </c>
      <c r="E4" s="25" t="s">
        <v>18</v>
      </c>
      <c r="F4" s="87"/>
      <c r="H4" s="92" t="s">
        <v>24</v>
      </c>
      <c r="I4" s="94">
        <f>SUM(E5:E52)/COUNTIF(E5:E52,"&gt;0")</f>
        <v>27598.508158508161</v>
      </c>
      <c r="J4" s="12"/>
      <c r="K4" s="13"/>
    </row>
    <row r="5" spans="1:11" ht="15" thickBot="1" x14ac:dyDescent="0.35">
      <c r="A5" s="48">
        <v>483300</v>
      </c>
      <c r="B5" s="49">
        <v>9</v>
      </c>
      <c r="C5" s="50">
        <v>3</v>
      </c>
      <c r="D5" s="26">
        <f>IF(ISNUMBER(A5/B5),A5/B5,0)</f>
        <v>53700</v>
      </c>
      <c r="E5" s="27">
        <f>IF(ISNUMBER(D5/C5),D5/C5,0)</f>
        <v>17900</v>
      </c>
      <c r="F5" s="20">
        <f>IF(A5&gt;0,COST!$I$6*(D5+(COST!$I$7-C5)*$I$4*$I$9),0)</f>
        <v>1046401.4918414918</v>
      </c>
      <c r="H5" s="93"/>
      <c r="I5" s="95"/>
      <c r="J5" s="11"/>
    </row>
    <row r="6" spans="1:11" x14ac:dyDescent="0.3">
      <c r="A6" s="48">
        <v>793300</v>
      </c>
      <c r="B6" s="49">
        <v>11</v>
      </c>
      <c r="C6" s="50">
        <v>1.3</v>
      </c>
      <c r="D6" s="26">
        <f t="shared" ref="D6:D52" si="0">IF(ISNUMBER(A6/B6),A6/B6,0)</f>
        <v>72118.181818181823</v>
      </c>
      <c r="E6" s="27">
        <f t="shared" ref="E6:E52" si="1">IF(ISNUMBER(D6/C6),D6/C6,0)</f>
        <v>55475.524475524478</v>
      </c>
      <c r="F6" s="21">
        <f>IF(A6&gt;0,COST!$I$6*(D6+(COST!$I$7-C6)*$I$4*$I$9),0)</f>
        <v>1508600.055944056</v>
      </c>
      <c r="H6" s="88" t="s">
        <v>53</v>
      </c>
      <c r="I6" s="90">
        <f>SUM(C5:C52)/COUNTIF(C5:C52,"&gt;0")</f>
        <v>2.2666666666666666</v>
      </c>
    </row>
    <row r="7" spans="1:11" ht="15" thickBot="1" x14ac:dyDescent="0.35">
      <c r="A7" s="55">
        <v>471000</v>
      </c>
      <c r="B7" s="49">
        <v>20</v>
      </c>
      <c r="C7" s="50">
        <v>2.5</v>
      </c>
      <c r="D7" s="26">
        <f t="shared" si="0"/>
        <v>23550</v>
      </c>
      <c r="E7" s="27">
        <f t="shared" si="1"/>
        <v>9420</v>
      </c>
      <c r="F7" s="21">
        <f>IF(A7&gt;0,COST!$I$6*(D7+(COST!$I$7-C7)*$I$4*$I$9),0)</f>
        <v>471000</v>
      </c>
      <c r="H7" s="89"/>
      <c r="I7" s="91"/>
      <c r="J7" s="10"/>
    </row>
    <row r="8" spans="1:11" ht="15" thickBot="1" x14ac:dyDescent="0.35">
      <c r="A8" s="48"/>
      <c r="B8" s="49"/>
      <c r="C8" s="50"/>
      <c r="D8" s="26">
        <f t="shared" si="0"/>
        <v>0</v>
      </c>
      <c r="E8" s="27">
        <f t="shared" si="1"/>
        <v>0</v>
      </c>
      <c r="F8" s="21">
        <f>IF(A8&gt;0,COST!$I$6*(D8+(COST!$I$7-C8)*$I$4*$I$9),0)</f>
        <v>0</v>
      </c>
    </row>
    <row r="9" spans="1:11" ht="15" thickBot="1" x14ac:dyDescent="0.35">
      <c r="A9" s="48"/>
      <c r="B9" s="49"/>
      <c r="C9" s="50"/>
      <c r="D9" s="26">
        <f t="shared" si="0"/>
        <v>0</v>
      </c>
      <c r="E9" s="27">
        <f t="shared" si="1"/>
        <v>0</v>
      </c>
      <c r="F9" s="21">
        <f>IF(A9&gt;0,COST!$I$6*(D9+(COST!$I$7-C9)*$I$4*$I$9),0)</f>
        <v>0</v>
      </c>
      <c r="H9" s="17" t="s">
        <v>55</v>
      </c>
      <c r="I9" s="54">
        <v>0.1</v>
      </c>
    </row>
    <row r="10" spans="1:11" x14ac:dyDescent="0.3">
      <c r="A10" s="48"/>
      <c r="B10" s="49"/>
      <c r="C10" s="50"/>
      <c r="D10" s="26">
        <f t="shared" si="0"/>
        <v>0</v>
      </c>
      <c r="E10" s="27">
        <f t="shared" si="1"/>
        <v>0</v>
      </c>
      <c r="F10" s="21">
        <f>IF(A10&gt;0,COST!$I$6*(D10+(COST!$I$7-C10)*$I$4*$I$9),0)</f>
        <v>0</v>
      </c>
      <c r="H10" s="1"/>
      <c r="I10" s="1"/>
      <c r="K10" s="1"/>
    </row>
    <row r="11" spans="1:11" x14ac:dyDescent="0.3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IF(A11&gt;0,COST!$I$6*(D11+(COST!$I$7-C11)*$I$4*$I$9),0)</f>
        <v>0</v>
      </c>
    </row>
    <row r="12" spans="1:11" x14ac:dyDescent="0.3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IF(A12&gt;0,COST!$I$6*(D12+(COST!$I$7-C12)*$I$4*$I$9),0)</f>
        <v>0</v>
      </c>
    </row>
    <row r="13" spans="1:11" x14ac:dyDescent="0.3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3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3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3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3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3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3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3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3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3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3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3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3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3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3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3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3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3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3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3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3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3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3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3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3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3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3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3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3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3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3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3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3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3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3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3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3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3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3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" thickBot="1" x14ac:dyDescent="0.35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="75" zoomScaleNormal="75" workbookViewId="0">
      <selection activeCell="D25" sqref="D25"/>
    </sheetView>
  </sheetViews>
  <sheetFormatPr defaultColWidth="11.44140625" defaultRowHeight="14.4" x14ac:dyDescent="0.3"/>
  <cols>
    <col min="2" max="12" width="13.6640625" customWidth="1"/>
  </cols>
  <sheetData>
    <row r="1" spans="1:12" x14ac:dyDescent="0.3">
      <c r="A1" s="72" t="s">
        <v>107</v>
      </c>
      <c r="B1" s="73"/>
      <c r="C1" s="73"/>
      <c r="D1" s="73"/>
      <c r="E1" s="73"/>
      <c r="F1" s="73"/>
      <c r="G1" s="73"/>
      <c r="H1" s="40"/>
      <c r="I1" s="41"/>
      <c r="J1" s="41"/>
      <c r="K1" s="41"/>
      <c r="L1" s="41"/>
    </row>
    <row r="2" spans="1:12" x14ac:dyDescent="0.3">
      <c r="A2" s="73"/>
      <c r="B2" s="73"/>
      <c r="C2" s="73"/>
      <c r="D2" s="73"/>
      <c r="E2" s="73"/>
      <c r="F2" s="73"/>
      <c r="G2" s="73"/>
      <c r="H2" s="41"/>
      <c r="I2" s="41"/>
      <c r="J2" s="41"/>
      <c r="K2" s="41"/>
      <c r="L2" s="41"/>
    </row>
    <row r="3" spans="1:12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x14ac:dyDescent="0.3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105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3">
      <c r="A26" s="35" t="s">
        <v>75</v>
      </c>
      <c r="B26" s="42" t="s">
        <v>76</v>
      </c>
      <c r="C26" s="42" t="s">
        <v>77</v>
      </c>
      <c r="D26" s="42" t="s">
        <v>78</v>
      </c>
      <c r="E26" s="42" t="s">
        <v>79</v>
      </c>
      <c r="F26" s="42" t="s">
        <v>80</v>
      </c>
      <c r="G26" s="42" t="s">
        <v>81</v>
      </c>
      <c r="H26" s="42" t="s">
        <v>82</v>
      </c>
      <c r="I26" s="42" t="s">
        <v>83</v>
      </c>
      <c r="J26" s="42" t="s">
        <v>7</v>
      </c>
      <c r="K26" s="42" t="s">
        <v>84</v>
      </c>
      <c r="L26" s="42" t="s">
        <v>85</v>
      </c>
    </row>
    <row r="27" spans="1:12" x14ac:dyDescent="0.3">
      <c r="A27" s="35" t="s">
        <v>86</v>
      </c>
      <c r="B27" s="36">
        <f t="shared" ref="B27:L27" si="0">MIN(B$50:B$98)</f>
        <v>104201.67790931532</v>
      </c>
      <c r="C27" s="36">
        <f t="shared" si="0"/>
        <v>1950944.1388161527</v>
      </c>
      <c r="D27" s="36">
        <f>MIN(D$50:D$98)</f>
        <v>495243.73356009071</v>
      </c>
      <c r="E27" s="36">
        <f t="shared" si="0"/>
        <v>423648.47534779232</v>
      </c>
      <c r="F27" s="36">
        <f t="shared" si="0"/>
        <v>33599.859649045931</v>
      </c>
      <c r="G27" s="36">
        <f t="shared" si="0"/>
        <v>285300</v>
      </c>
      <c r="H27" s="36">
        <f t="shared" si="0"/>
        <v>804516.33634564234</v>
      </c>
      <c r="I27" s="36">
        <f t="shared" si="0"/>
        <v>618696.31389189512</v>
      </c>
      <c r="J27" s="36">
        <f t="shared" si="0"/>
        <v>150854.38295454544</v>
      </c>
      <c r="K27" s="36">
        <f t="shared" si="0"/>
        <v>400411.47907761508</v>
      </c>
      <c r="L27" s="36">
        <f t="shared" si="0"/>
        <v>471000</v>
      </c>
    </row>
    <row r="28" spans="1:12" ht="15.6" x14ac:dyDescent="0.35">
      <c r="A28" s="35" t="s">
        <v>87</v>
      </c>
      <c r="B28" s="36">
        <f t="shared" ref="B28:L28" si="1">PERCENTILE(B$50:B$98,0.25)</f>
        <v>243053.34457598196</v>
      </c>
      <c r="C28" s="36">
        <f t="shared" si="1"/>
        <v>2374377.8428004188</v>
      </c>
      <c r="D28" s="36">
        <f>PERCENTILE(D$50:D$98,0.25)</f>
        <v>585415.08730158722</v>
      </c>
      <c r="E28" s="36">
        <f t="shared" si="1"/>
        <v>620136.3565108442</v>
      </c>
      <c r="F28" s="36">
        <f t="shared" si="1"/>
        <v>105538.01790197447</v>
      </c>
      <c r="G28" s="36">
        <f t="shared" si="1"/>
        <v>385600.64674289676</v>
      </c>
      <c r="H28" s="36">
        <f t="shared" si="1"/>
        <v>1042967.608644461</v>
      </c>
      <c r="I28" s="36">
        <f t="shared" si="1"/>
        <v>766133.046343558</v>
      </c>
      <c r="J28" s="36">
        <f t="shared" si="1"/>
        <v>184483.38295454544</v>
      </c>
      <c r="K28" s="36">
        <f t="shared" si="1"/>
        <v>412344.63594099047</v>
      </c>
      <c r="L28" s="36">
        <f t="shared" si="1"/>
        <v>758700.74592074589</v>
      </c>
    </row>
    <row r="29" spans="1:12" x14ac:dyDescent="0.3">
      <c r="A29" s="35" t="s">
        <v>88</v>
      </c>
      <c r="B29" s="36">
        <f t="shared" ref="B29:L29" si="2">MEDIAN(B$50:B$98)</f>
        <v>328799.59457598196</v>
      </c>
      <c r="C29" s="36">
        <f t="shared" si="2"/>
        <v>3124749.1388161527</v>
      </c>
      <c r="D29" s="36">
        <f>MEDIAN(D$50:D$98)</f>
        <v>652537.04138322</v>
      </c>
      <c r="E29" s="36">
        <f t="shared" si="2"/>
        <v>734423.10230992199</v>
      </c>
      <c r="F29" s="36">
        <f t="shared" si="2"/>
        <v>201155.98209802553</v>
      </c>
      <c r="G29" s="36">
        <f t="shared" si="2"/>
        <v>1009019.9466909217</v>
      </c>
      <c r="H29" s="36">
        <f t="shared" si="2"/>
        <v>1361581.101349168</v>
      </c>
      <c r="I29" s="36">
        <f t="shared" si="2"/>
        <v>875518.41779719701</v>
      </c>
      <c r="J29" s="36">
        <f t="shared" si="2"/>
        <v>224461.33446969694</v>
      </c>
      <c r="K29" s="36">
        <f t="shared" si="2"/>
        <v>420526.69546243688</v>
      </c>
      <c r="L29" s="36">
        <f t="shared" si="2"/>
        <v>1046401.4918414918</v>
      </c>
    </row>
    <row r="30" spans="1:12" ht="15.6" x14ac:dyDescent="0.35">
      <c r="A30" s="35" t="s">
        <v>89</v>
      </c>
      <c r="B30" s="36">
        <f t="shared" ref="B30:L30" si="3">PERCENTILE(B$50:B$98,0.75)</f>
        <v>657593.92140570155</v>
      </c>
      <c r="C30" s="36">
        <f t="shared" si="3"/>
        <v>4754705.5314001217</v>
      </c>
      <c r="D30" s="36">
        <f>PERCENTILE(D$50:D$98,0.75)</f>
        <v>728876.02069160994</v>
      </c>
      <c r="E30" s="36">
        <f t="shared" si="3"/>
        <v>895676.25855062332</v>
      </c>
      <c r="F30" s="36">
        <f t="shared" si="3"/>
        <v>310420.20818213007</v>
      </c>
      <c r="G30" s="36">
        <f t="shared" si="3"/>
        <v>1646094.6775814276</v>
      </c>
      <c r="H30" s="36">
        <f t="shared" si="3"/>
        <v>1822754.479914852</v>
      </c>
      <c r="I30" s="36">
        <f t="shared" si="3"/>
        <v>942951.59061003523</v>
      </c>
      <c r="J30" s="36">
        <f t="shared" si="3"/>
        <v>226563.58446969694</v>
      </c>
      <c r="K30" s="36">
        <f t="shared" si="3"/>
        <v>453626.4141829958</v>
      </c>
      <c r="L30" s="36">
        <f t="shared" si="3"/>
        <v>1277500.7738927738</v>
      </c>
    </row>
    <row r="31" spans="1:12" x14ac:dyDescent="0.3">
      <c r="A31" s="35" t="s">
        <v>90</v>
      </c>
      <c r="B31" s="36">
        <f t="shared" ref="B31:L31" si="4">MAX(B$50:B$98)</f>
        <v>836000</v>
      </c>
      <c r="C31" s="36">
        <f t="shared" si="4"/>
        <v>4879000</v>
      </c>
      <c r="D31" s="36">
        <f>MAX(D$50:D$98)</f>
        <v>792652.93877551029</v>
      </c>
      <c r="E31" s="36">
        <f t="shared" si="4"/>
        <v>1072526.7246522077</v>
      </c>
      <c r="F31" s="36">
        <f t="shared" si="4"/>
        <v>987008.57490272517</v>
      </c>
      <c r="G31" s="36">
        <f t="shared" si="4"/>
        <v>4343564.6467428971</v>
      </c>
      <c r="H31" s="36">
        <f t="shared" si="4"/>
        <v>3087624.2898232201</v>
      </c>
      <c r="I31" s="36">
        <f t="shared" si="4"/>
        <v>964531.72713929589</v>
      </c>
      <c r="J31" s="36">
        <f t="shared" si="4"/>
        <v>265000</v>
      </c>
      <c r="K31" s="36">
        <f t="shared" si="4"/>
        <v>523870.71539797005</v>
      </c>
      <c r="L31" s="36">
        <f t="shared" si="4"/>
        <v>1508600.055944056</v>
      </c>
    </row>
    <row r="32" spans="1:12" x14ac:dyDescent="0.3">
      <c r="A32" s="35" t="s">
        <v>91</v>
      </c>
      <c r="B32" s="36">
        <f t="shared" ref="B32:L32" si="5">B30-B28</f>
        <v>414540.57682971959</v>
      </c>
      <c r="C32" s="36">
        <f t="shared" si="5"/>
        <v>2380327.6885997029</v>
      </c>
      <c r="D32" s="36">
        <f t="shared" si="5"/>
        <v>143460.93339002272</v>
      </c>
      <c r="E32" s="36">
        <f t="shared" si="5"/>
        <v>275539.90203977912</v>
      </c>
      <c r="F32" s="36">
        <f t="shared" si="5"/>
        <v>204882.1902801556</v>
      </c>
      <c r="G32" s="36">
        <f t="shared" si="5"/>
        <v>1260494.030838531</v>
      </c>
      <c r="H32" s="36">
        <f t="shared" si="5"/>
        <v>779786.87127039093</v>
      </c>
      <c r="I32" s="36">
        <f t="shared" si="5"/>
        <v>176818.54426647723</v>
      </c>
      <c r="J32" s="36">
        <f t="shared" si="5"/>
        <v>42080.201515151508</v>
      </c>
      <c r="K32" s="36">
        <f t="shared" si="5"/>
        <v>41281.778242005326</v>
      </c>
      <c r="L32" s="36">
        <f t="shared" si="5"/>
        <v>518800.02797202789</v>
      </c>
    </row>
    <row r="33" spans="1:12" x14ac:dyDescent="0.3">
      <c r="A33" s="35" t="s">
        <v>92</v>
      </c>
      <c r="B33" s="36">
        <f t="shared" ref="B33:L33" si="6">COUNTIF(B$50:B$98,"&gt;"&amp;B39)</f>
        <v>0</v>
      </c>
      <c r="C33" s="36">
        <f t="shared" si="6"/>
        <v>0</v>
      </c>
      <c r="D33" s="36">
        <f>COUNTIF(D$50:D$98,"&gt;"&amp;D39)</f>
        <v>0</v>
      </c>
      <c r="E33" s="36">
        <f t="shared" si="6"/>
        <v>0</v>
      </c>
      <c r="F33" s="36">
        <f t="shared" si="6"/>
        <v>1</v>
      </c>
      <c r="G33" s="36">
        <f t="shared" si="6"/>
        <v>1</v>
      </c>
      <c r="H33" s="36">
        <f t="shared" si="6"/>
        <v>1</v>
      </c>
      <c r="I33" s="36">
        <f t="shared" si="6"/>
        <v>0</v>
      </c>
      <c r="J33" s="36">
        <f t="shared" si="6"/>
        <v>0</v>
      </c>
      <c r="K33" s="36">
        <f t="shared" si="6"/>
        <v>1</v>
      </c>
      <c r="L33" s="36">
        <f t="shared" si="6"/>
        <v>0</v>
      </c>
    </row>
    <row r="34" spans="1:12" x14ac:dyDescent="0.3">
      <c r="A34" s="35" t="s">
        <v>93</v>
      </c>
      <c r="B34" s="36">
        <f t="shared" ref="B34:L34" si="7">COUNTIF(B$50:B$98,"&lt;"&amp;B40)</f>
        <v>0</v>
      </c>
      <c r="C34" s="36">
        <f t="shared" si="7"/>
        <v>0</v>
      </c>
      <c r="D34" s="36">
        <f>COUNTIF(D$50:D$98,"&lt;"&amp;D40)</f>
        <v>0</v>
      </c>
      <c r="E34" s="36">
        <f t="shared" si="7"/>
        <v>0</v>
      </c>
      <c r="F34" s="36">
        <f t="shared" si="7"/>
        <v>0</v>
      </c>
      <c r="G34" s="36">
        <f t="shared" si="7"/>
        <v>0</v>
      </c>
      <c r="H34" s="36">
        <f t="shared" si="7"/>
        <v>0</v>
      </c>
      <c r="I34" s="36">
        <f t="shared" si="7"/>
        <v>0</v>
      </c>
      <c r="J34" s="36">
        <f t="shared" si="7"/>
        <v>0</v>
      </c>
      <c r="K34" s="36">
        <f t="shared" si="7"/>
        <v>0</v>
      </c>
      <c r="L34" s="36">
        <f t="shared" si="7"/>
        <v>0</v>
      </c>
    </row>
    <row r="35" spans="1:12" x14ac:dyDescent="0.3">
      <c r="A35" s="43" t="s">
        <v>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x14ac:dyDescent="0.3">
      <c r="A36" s="35" t="s">
        <v>95</v>
      </c>
      <c r="B36" s="34">
        <f t="shared" ref="B36:L37" si="8">B29-B28</f>
        <v>85746.25</v>
      </c>
      <c r="C36" s="34">
        <f t="shared" si="8"/>
        <v>750371.29601573385</v>
      </c>
      <c r="D36" s="34">
        <f t="shared" si="8"/>
        <v>67121.954081632779</v>
      </c>
      <c r="E36" s="34">
        <f t="shared" si="8"/>
        <v>114286.74579907779</v>
      </c>
      <c r="F36" s="34">
        <f t="shared" si="8"/>
        <v>95617.964196051063</v>
      </c>
      <c r="G36" s="34">
        <f t="shared" si="8"/>
        <v>623419.29994802491</v>
      </c>
      <c r="H36" s="34">
        <f t="shared" si="8"/>
        <v>318613.49270470697</v>
      </c>
      <c r="I36" s="34">
        <f t="shared" si="8"/>
        <v>109385.371453639</v>
      </c>
      <c r="J36" s="34">
        <f t="shared" si="8"/>
        <v>39977.951515151508</v>
      </c>
      <c r="K36" s="34">
        <f t="shared" si="8"/>
        <v>8182.059521446412</v>
      </c>
      <c r="L36" s="34">
        <f t="shared" si="8"/>
        <v>287700.74592074589</v>
      </c>
    </row>
    <row r="37" spans="1:12" x14ac:dyDescent="0.3">
      <c r="A37" s="35" t="s">
        <v>96</v>
      </c>
      <c r="B37" s="34">
        <f t="shared" si="8"/>
        <v>328794.32682971959</v>
      </c>
      <c r="C37" s="34">
        <f t="shared" si="8"/>
        <v>1629956.392583969</v>
      </c>
      <c r="D37" s="34">
        <f t="shared" si="8"/>
        <v>76338.979308389942</v>
      </c>
      <c r="E37" s="34">
        <f t="shared" si="8"/>
        <v>161253.15624070133</v>
      </c>
      <c r="F37" s="34">
        <f t="shared" si="8"/>
        <v>109264.22608410454</v>
      </c>
      <c r="G37" s="34">
        <f t="shared" si="8"/>
        <v>637074.73089050595</v>
      </c>
      <c r="H37" s="34">
        <f t="shared" si="8"/>
        <v>461173.37856568396</v>
      </c>
      <c r="I37" s="34">
        <f t="shared" si="8"/>
        <v>67433.172812838224</v>
      </c>
      <c r="J37" s="34">
        <f t="shared" si="8"/>
        <v>2102.25</v>
      </c>
      <c r="K37" s="34">
        <f t="shared" si="8"/>
        <v>33099.718720558914</v>
      </c>
      <c r="L37" s="34">
        <f t="shared" si="8"/>
        <v>231099.282051282</v>
      </c>
    </row>
    <row r="38" spans="1:12" x14ac:dyDescent="0.3">
      <c r="A38" s="43" t="s">
        <v>97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ht="15.6" x14ac:dyDescent="0.35">
      <c r="A39" s="35" t="s">
        <v>98</v>
      </c>
      <c r="B39" s="34">
        <f t="shared" ref="B39:L39" si="9">B30+1.5*B32</f>
        <v>1279404.7866502809</v>
      </c>
      <c r="C39" s="34">
        <f t="shared" si="9"/>
        <v>8325197.0642996766</v>
      </c>
      <c r="D39" s="34">
        <f t="shared" si="9"/>
        <v>944067.42077664402</v>
      </c>
      <c r="E39" s="34">
        <f t="shared" si="9"/>
        <v>1308986.111610292</v>
      </c>
      <c r="F39" s="34">
        <f t="shared" si="9"/>
        <v>617743.49360236339</v>
      </c>
      <c r="G39" s="34">
        <f t="shared" si="9"/>
        <v>3536835.7238392243</v>
      </c>
      <c r="H39" s="34">
        <f t="shared" si="9"/>
        <v>2992434.7868204382</v>
      </c>
      <c r="I39" s="34">
        <f t="shared" si="9"/>
        <v>1208179.4070097511</v>
      </c>
      <c r="J39" s="34">
        <f t="shared" si="9"/>
        <v>289683.88674242422</v>
      </c>
      <c r="K39" s="34">
        <f t="shared" si="9"/>
        <v>515549.08154600381</v>
      </c>
      <c r="L39" s="34">
        <f t="shared" si="9"/>
        <v>2055700.8158508157</v>
      </c>
    </row>
    <row r="40" spans="1:12" ht="15.6" x14ac:dyDescent="0.35">
      <c r="A40" s="35" t="s">
        <v>99</v>
      </c>
      <c r="B40" s="34">
        <f t="shared" ref="B40:L40" si="10">B28-1.5*B32</f>
        <v>-378757.52066859743</v>
      </c>
      <c r="C40" s="34">
        <f t="shared" si="10"/>
        <v>-1196113.6900991355</v>
      </c>
      <c r="D40" s="34">
        <f t="shared" si="10"/>
        <v>370223.68721655314</v>
      </c>
      <c r="E40" s="34">
        <f t="shared" si="10"/>
        <v>206826.50345117552</v>
      </c>
      <c r="F40" s="34">
        <f t="shared" si="10"/>
        <v>-201785.26751825892</v>
      </c>
      <c r="G40" s="34">
        <f t="shared" si="10"/>
        <v>-1505140.3995148996</v>
      </c>
      <c r="H40" s="34">
        <f t="shared" si="10"/>
        <v>-126712.69826112525</v>
      </c>
      <c r="I40" s="34">
        <f t="shared" si="10"/>
        <v>500905.22994384216</v>
      </c>
      <c r="J40" s="34">
        <f t="shared" si="10"/>
        <v>121363.08068181817</v>
      </c>
      <c r="K40" s="34">
        <f t="shared" si="10"/>
        <v>350421.96857798251</v>
      </c>
      <c r="L40" s="34">
        <f t="shared" si="10"/>
        <v>-19499.29603729595</v>
      </c>
    </row>
    <row r="41" spans="1:12" x14ac:dyDescent="0.3">
      <c r="A41" s="35" t="s">
        <v>100</v>
      </c>
      <c r="B41" s="34">
        <f t="shared" ref="B41:L41" si="11">MIN(B39,B31)</f>
        <v>836000</v>
      </c>
      <c r="C41" s="34">
        <f t="shared" si="11"/>
        <v>4879000</v>
      </c>
      <c r="D41" s="34">
        <f t="shared" si="11"/>
        <v>792652.93877551029</v>
      </c>
      <c r="E41" s="34">
        <f t="shared" si="11"/>
        <v>1072526.7246522077</v>
      </c>
      <c r="F41" s="34">
        <f t="shared" si="11"/>
        <v>617743.49360236339</v>
      </c>
      <c r="G41" s="34">
        <f t="shared" si="11"/>
        <v>3536835.7238392243</v>
      </c>
      <c r="H41" s="34">
        <f t="shared" si="11"/>
        <v>2992434.7868204382</v>
      </c>
      <c r="I41" s="34">
        <f t="shared" si="11"/>
        <v>964531.72713929589</v>
      </c>
      <c r="J41" s="34">
        <f t="shared" si="11"/>
        <v>265000</v>
      </c>
      <c r="K41" s="34">
        <f t="shared" si="11"/>
        <v>515549.08154600381</v>
      </c>
      <c r="L41" s="34">
        <f t="shared" si="11"/>
        <v>1508600.055944056</v>
      </c>
    </row>
    <row r="42" spans="1:12" x14ac:dyDescent="0.3">
      <c r="A42" s="35" t="s">
        <v>101</v>
      </c>
      <c r="B42" s="34">
        <f t="shared" ref="B42:L42" si="12">MAX(B27,B40)</f>
        <v>104201.67790931532</v>
      </c>
      <c r="C42" s="34">
        <f t="shared" si="12"/>
        <v>1950944.1388161527</v>
      </c>
      <c r="D42" s="34">
        <f t="shared" si="12"/>
        <v>495243.73356009071</v>
      </c>
      <c r="E42" s="34">
        <f t="shared" si="12"/>
        <v>423648.47534779232</v>
      </c>
      <c r="F42" s="34">
        <f t="shared" si="12"/>
        <v>33599.859649045931</v>
      </c>
      <c r="G42" s="34">
        <f t="shared" si="12"/>
        <v>285300</v>
      </c>
      <c r="H42" s="34">
        <f t="shared" si="12"/>
        <v>804516.33634564234</v>
      </c>
      <c r="I42" s="34">
        <f t="shared" si="12"/>
        <v>618696.31389189512</v>
      </c>
      <c r="J42" s="34">
        <f t="shared" si="12"/>
        <v>150854.38295454544</v>
      </c>
      <c r="K42" s="34">
        <f t="shared" si="12"/>
        <v>400411.47907761508</v>
      </c>
      <c r="L42" s="34">
        <f t="shared" si="12"/>
        <v>471000</v>
      </c>
    </row>
    <row r="43" spans="1:12" ht="15.6" x14ac:dyDescent="0.35">
      <c r="A43" s="35" t="s">
        <v>102</v>
      </c>
      <c r="B43" s="34">
        <f t="shared" ref="B43:L43" si="13">B41-B30</f>
        <v>178406.07859429845</v>
      </c>
      <c r="C43" s="34">
        <f t="shared" si="13"/>
        <v>124294.46859987825</v>
      </c>
      <c r="D43" s="34">
        <f t="shared" si="13"/>
        <v>63776.918083900353</v>
      </c>
      <c r="E43" s="34">
        <f t="shared" si="13"/>
        <v>176850.46610158437</v>
      </c>
      <c r="F43" s="34">
        <f t="shared" si="13"/>
        <v>307323.28542023333</v>
      </c>
      <c r="G43" s="34">
        <f t="shared" si="13"/>
        <v>1890741.0462577967</v>
      </c>
      <c r="H43" s="34">
        <f t="shared" si="13"/>
        <v>1169680.3069055863</v>
      </c>
      <c r="I43" s="34">
        <f t="shared" si="13"/>
        <v>21580.136529260664</v>
      </c>
      <c r="J43" s="34">
        <f t="shared" si="13"/>
        <v>38436.415530303057</v>
      </c>
      <c r="K43" s="34">
        <f t="shared" si="13"/>
        <v>61922.667363008019</v>
      </c>
      <c r="L43" s="34">
        <f t="shared" si="13"/>
        <v>231099.28205128224</v>
      </c>
    </row>
    <row r="44" spans="1:12" ht="15.6" x14ac:dyDescent="0.35">
      <c r="A44" s="35" t="s">
        <v>103</v>
      </c>
      <c r="B44" s="34">
        <f t="shared" ref="B44:L44" si="14">B28-B42</f>
        <v>138851.66666666663</v>
      </c>
      <c r="C44" s="34">
        <f t="shared" si="14"/>
        <v>423433.70398426615</v>
      </c>
      <c r="D44" s="34">
        <f t="shared" si="14"/>
        <v>90171.35374149651</v>
      </c>
      <c r="E44" s="34">
        <f t="shared" si="14"/>
        <v>196487.88116305188</v>
      </c>
      <c r="F44" s="34">
        <f t="shared" si="14"/>
        <v>71938.158252928537</v>
      </c>
      <c r="G44" s="34">
        <f t="shared" si="14"/>
        <v>100300.64674289676</v>
      </c>
      <c r="H44" s="34">
        <f t="shared" si="14"/>
        <v>238451.27229881869</v>
      </c>
      <c r="I44" s="34">
        <f t="shared" si="14"/>
        <v>147436.73245166289</v>
      </c>
      <c r="J44" s="34">
        <f t="shared" si="14"/>
        <v>33629</v>
      </c>
      <c r="K44" s="34">
        <f t="shared" si="14"/>
        <v>11933.156863375392</v>
      </c>
      <c r="L44" s="34">
        <f t="shared" si="14"/>
        <v>287700.74592074589</v>
      </c>
    </row>
    <row r="45" spans="1:12" x14ac:dyDescent="0.3">
      <c r="A45" s="43" t="s">
        <v>104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x14ac:dyDescent="0.3">
      <c r="A46" s="35" t="s">
        <v>90</v>
      </c>
      <c r="B46" s="34" t="e">
        <f t="shared" ref="B46:L46" si="15">IF(B33&gt;0,B31,NA())</f>
        <v>#N/A</v>
      </c>
      <c r="C46" s="34" t="e">
        <f t="shared" si="15"/>
        <v>#N/A</v>
      </c>
      <c r="D46" s="34" t="e">
        <f t="shared" si="15"/>
        <v>#N/A</v>
      </c>
      <c r="E46" s="34" t="e">
        <f t="shared" si="15"/>
        <v>#N/A</v>
      </c>
      <c r="F46" s="34">
        <f t="shared" si="15"/>
        <v>987008.57490272517</v>
      </c>
      <c r="G46" s="34">
        <f t="shared" si="15"/>
        <v>4343564.6467428971</v>
      </c>
      <c r="H46" s="34">
        <f t="shared" si="15"/>
        <v>3087624.2898232201</v>
      </c>
      <c r="I46" s="34" t="e">
        <f t="shared" si="15"/>
        <v>#N/A</v>
      </c>
      <c r="J46" s="34" t="e">
        <f t="shared" si="15"/>
        <v>#N/A</v>
      </c>
      <c r="K46" s="34">
        <f t="shared" si="15"/>
        <v>523870.71539797005</v>
      </c>
      <c r="L46" s="34" t="e">
        <f t="shared" si="15"/>
        <v>#N/A</v>
      </c>
    </row>
    <row r="47" spans="1:12" x14ac:dyDescent="0.3">
      <c r="A47" s="35" t="s">
        <v>86</v>
      </c>
      <c r="B47" s="34" t="e">
        <f t="shared" ref="B47:L47" si="16">IF(B34&gt;0,B27,NA())</f>
        <v>#N/A</v>
      </c>
      <c r="C47" s="34" t="e">
        <f t="shared" si="16"/>
        <v>#N/A</v>
      </c>
      <c r="D47" s="34" t="e">
        <f t="shared" si="16"/>
        <v>#N/A</v>
      </c>
      <c r="E47" s="34" t="e">
        <f t="shared" si="16"/>
        <v>#N/A</v>
      </c>
      <c r="F47" s="34" t="e">
        <f t="shared" si="16"/>
        <v>#N/A</v>
      </c>
      <c r="G47" s="34" t="e">
        <f t="shared" si="16"/>
        <v>#N/A</v>
      </c>
      <c r="H47" s="34" t="e">
        <f t="shared" si="16"/>
        <v>#N/A</v>
      </c>
      <c r="I47" s="34" t="e">
        <f t="shared" si="16"/>
        <v>#N/A</v>
      </c>
      <c r="J47" s="34" t="e">
        <f t="shared" si="16"/>
        <v>#N/A</v>
      </c>
      <c r="K47" s="34" t="e">
        <f t="shared" si="16"/>
        <v>#N/A</v>
      </c>
      <c r="L47" s="34" t="e">
        <f t="shared" si="16"/>
        <v>#N/A</v>
      </c>
    </row>
    <row r="48" spans="1:12" x14ac:dyDescent="0.3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5.6" x14ac:dyDescent="0.3">
      <c r="A49" s="45" t="s">
        <v>105</v>
      </c>
      <c r="B49" s="46" t="str">
        <f t="shared" ref="B49:L49" si="17">B26</f>
        <v>Crane Pads</v>
      </c>
      <c r="C49" s="46" t="str">
        <f t="shared" si="17"/>
        <v>Foundations</v>
      </c>
      <c r="D49" s="46" t="str">
        <f t="shared" si="17"/>
        <v>Substation Civils</v>
      </c>
      <c r="E49" s="46" t="str">
        <f>E26</f>
        <v>Road construction</v>
      </c>
      <c r="F49" s="46" t="str">
        <f t="shared" si="17"/>
        <v>Road upgrade</v>
      </c>
      <c r="G49" s="46" t="str">
        <f t="shared" si="17"/>
        <v>Cabling to substation</v>
      </c>
      <c r="H49" s="46" t="str">
        <f t="shared" si="17"/>
        <v>Cabling to grid</v>
      </c>
      <c r="I49" s="46" t="str">
        <f t="shared" si="17"/>
        <v>Point of Connection</v>
      </c>
      <c r="J49" s="46" t="str">
        <f t="shared" si="17"/>
        <v>SCADA</v>
      </c>
      <c r="K49" s="46" t="str">
        <f t="shared" si="17"/>
        <v>Substation Electrical</v>
      </c>
      <c r="L49" s="46" t="str">
        <f t="shared" si="17"/>
        <v>Transformers</v>
      </c>
    </row>
    <row r="50" spans="1:12" x14ac:dyDescent="0.3">
      <c r="A50" s="34"/>
      <c r="B50" s="38">
        <f>IF('Crane Pads'!F5&gt;0,'Crane Pads'!F5,"")</f>
        <v>692566.67566078552</v>
      </c>
      <c r="C50" s="38">
        <f>IF(Foundations!F5&gt;0,Foundations!F5,"")</f>
        <v>2243323.1577503243</v>
      </c>
      <c r="D50" s="38">
        <f>IF('Substation-civil'!D5&gt;0,'Substation-civil'!D5,"")</f>
        <v>792652.93877551029</v>
      </c>
      <c r="E50" s="38">
        <f>IF('Road Construction'!F5&gt;0,'Road Construction'!F5,"")</f>
        <v>743446.20461984398</v>
      </c>
      <c r="F50" s="38">
        <f>IF('Road Upgrade'!F5&gt;0,'Road Upgrade'!F5,"")</f>
        <v>310420.20818213007</v>
      </c>
      <c r="G50" s="38">
        <f>IF('Cabling to substation'!F5&gt;0,'Cabling to substation'!F5,"")</f>
        <v>1566647.7856895358</v>
      </c>
      <c r="H50" s="38">
        <f>IF('Cabling to grid'!F5&gt;0,'Cabling to grid'!F5,"")</f>
        <v>1089873.6811002661</v>
      </c>
      <c r="I50" s="38">
        <f>IF('Point of connection'!D5&gt;0,'Point of connection'!D5,"")</f>
        <v>815278.62382744567</v>
      </c>
      <c r="J50" s="38">
        <f>IF(SCADA!D5&gt;0,SCADA!D5,"")</f>
        <v>150854.38295454544</v>
      </c>
      <c r="K50" s="47">
        <f>IF('Substation-electrical'!D5&gt;0,'Substation-electrical'!D5,"")</f>
        <v>413819.38427969604</v>
      </c>
      <c r="L50" s="38">
        <f>IF(Transformers!F5&gt;0,Transformers!F5,"")</f>
        <v>1046401.4918414918</v>
      </c>
    </row>
    <row r="51" spans="1:12" x14ac:dyDescent="0.3">
      <c r="A51" s="34"/>
      <c r="B51" s="38">
        <f>IF('Crane Pads'!F6&gt;0,'Crane Pads'!F6,"")</f>
        <v>645936.33665400685</v>
      </c>
      <c r="C51" s="38">
        <f>IF(Foundations!F6&gt;0,Foundations!F6,"")</f>
        <v>2505432.5278505138</v>
      </c>
      <c r="D51" s="38">
        <f>IF('Substation-civil'!D6&gt;0,'Substation-civil'!D6,"")</f>
        <v>644416.44104308391</v>
      </c>
      <c r="E51" s="38">
        <f>IF('Road Construction'!F6&gt;0,'Road Construction'!F6,"")</f>
        <v>1072526.7246522077</v>
      </c>
      <c r="F51" s="38">
        <f>IF('Road Upgrade'!F6&gt;0,'Road Upgrade'!F6,"")</f>
        <v>105538.01790197447</v>
      </c>
      <c r="G51" s="38">
        <f>IF('Cabling to substation'!F6&gt;0,'Cabling to substation'!F6,"")</f>
        <v>4343564.6467428971</v>
      </c>
      <c r="H51" s="38">
        <f>IF('Cabling to grid'!F6&gt;0,'Cabling to grid'!F6,"")</f>
        <v>1770811.3332810046</v>
      </c>
      <c r="I51" s="38">
        <f>IF('Point of connection'!D6&gt;0,'Point of connection'!D6,"")</f>
        <v>935758.21176694834</v>
      </c>
      <c r="J51" s="38">
        <f>IF(SCADA!D6&gt;0,SCADA!D6,"")</f>
        <v>227363.97159090903</v>
      </c>
      <c r="K51" s="47">
        <f>IF('Substation-electrical'!D6&gt;0,'Substation-electrical'!D6,"")</f>
        <v>400411.47907761508</v>
      </c>
      <c r="L51" s="38">
        <f>IF(Transformers!F6&gt;0,Transformers!F6,"")</f>
        <v>1508600.055944056</v>
      </c>
    </row>
    <row r="52" spans="1:12" x14ac:dyDescent="0.3">
      <c r="A52" s="34"/>
      <c r="B52" s="38">
        <f>IF('Crane Pads'!F7&gt;0,'Crane Pads'!F7,"")</f>
        <v>413820.84457598196</v>
      </c>
      <c r="C52" s="38">
        <f>IF(Foundations!F7&gt;0,Foundations!F7,"")</f>
        <v>4640362.3444735389</v>
      </c>
      <c r="D52" s="38">
        <f>IF('Substation-civil'!D7&gt;0,'Substation-civil'!D7,"")</f>
        <v>495243.73356009071</v>
      </c>
      <c r="E52" s="38">
        <f>IF('Road Construction'!F7&gt;0,'Road Construction'!F7,"")</f>
        <v>946419.60986088309</v>
      </c>
      <c r="F52" s="38">
        <f>IF('Road Upgrade'!F7&gt;0,'Road Upgrade'!F7,"")</f>
        <v>987008.57490272517</v>
      </c>
      <c r="G52" s="38">
        <f>IF('Cabling to substation'!F7&gt;0,'Cabling to substation'!F7,"")</f>
        <v>1145644.8478170477</v>
      </c>
      <c r="H52" s="38">
        <f>IF('Cabling to grid'!F7&gt;0,'Cabling to grid'!F7,"")</f>
        <v>1840068.8621261346</v>
      </c>
      <c r="I52" s="38">
        <f>IF('Point of connection'!D7&gt;0,'Point of connection'!D7,"")</f>
        <v>618696.31389189512</v>
      </c>
      <c r="J52" s="38">
        <f>IF(SCADA!D7&gt;0,SCADA!D7,"")</f>
        <v>200000</v>
      </c>
      <c r="K52" s="47">
        <f>IF('Substation-electrical'!D7&gt;0,'Substation-electrical'!D7,"")</f>
        <v>447946.75526903651</v>
      </c>
      <c r="L52" s="38">
        <f>IF(Transformers!F7&gt;0,Transformers!F7,"")</f>
        <v>471000</v>
      </c>
    </row>
    <row r="53" spans="1:12" x14ac:dyDescent="0.3">
      <c r="A53" s="34"/>
      <c r="B53" s="38">
        <f>IF('Crane Pads'!F8&gt;0,'Crane Pads'!F8,"")</f>
        <v>243778.34457598196</v>
      </c>
      <c r="C53" s="38">
        <f>IF(Foundations!F8&gt;0,Foundations!F8,"")</f>
        <v>4869048.7183267046</v>
      </c>
      <c r="D53" s="38">
        <f>IF('Substation-civil'!D8&gt;0,'Substation-civil'!D8,"")</f>
        <v>526413.73356009065</v>
      </c>
      <c r="E53" s="38">
        <f>IF('Road Construction'!F8&gt;0,'Road Construction'!F8,"")</f>
        <v>423648.47534779232</v>
      </c>
      <c r="F53" s="38">
        <f>IF('Road Upgrade'!F8&gt;0,'Road Upgrade'!F8,"")</f>
        <v>33599.859649045931</v>
      </c>
      <c r="G53" s="38">
        <f>IF('Cabling to substation'!F8&gt;0,'Cabling to substation'!F8,"")</f>
        <v>1884435.3532571034</v>
      </c>
      <c r="H53" s="38">
        <f>IF('Cabling to grid'!F8&gt;0,'Cabling to grid'!F8,"")</f>
        <v>1617373.6811002658</v>
      </c>
      <c r="I53" s="38">
        <f>IF('Point of connection'!D8&gt;0,'Point of connection'!D8,"")</f>
        <v>964531.72713929589</v>
      </c>
      <c r="J53" s="38">
        <f>IF(SCADA!D8&gt;0,SCADA!D8,"")</f>
        <v>179311.17727272725</v>
      </c>
      <c r="K53" s="47">
        <f>IF('Substation-electrical'!D8&gt;0,'Substation-electrical'!D8,"")</f>
        <v>424053.39092487376</v>
      </c>
      <c r="L53" s="38" t="str">
        <f>IF(Transformers!F8&gt;0,Transformers!F8,"")</f>
        <v/>
      </c>
    </row>
    <row r="54" spans="1:12" x14ac:dyDescent="0.3">
      <c r="A54" s="34"/>
      <c r="B54" s="38">
        <f>IF('Crane Pads'!F9&gt;0,'Crane Pads'!F9,"")</f>
        <v>241748.34457598196</v>
      </c>
      <c r="C54" s="38">
        <f>IF(Foundations!F9&gt;0,Foundations!F9,"")</f>
        <v>1950944.1388161527</v>
      </c>
      <c r="D54" s="38">
        <f>IF('Substation-civil'!D9&gt;0,'Substation-civil'!D9,"")</f>
        <v>676752.04138322</v>
      </c>
      <c r="E54" s="38">
        <f>IF('Road Construction'!F9&gt;0,'Road Construction'!F9,"")</f>
        <v>585048.47534779226</v>
      </c>
      <c r="F54" s="38">
        <f>IF('Road Upgrade'!F9&gt;0,'Road Upgrade'!F9,"")</f>
        <v>201155.98209802553</v>
      </c>
      <c r="G54" s="38">
        <f>IF('Cabling to substation'!F9&gt;0,'Cabling to substation'!F9,"")</f>
        <v>872395.0455647955</v>
      </c>
      <c r="H54" s="38">
        <f>IF('Cabling to grid'!F9&gt;0,'Cabling to grid'!F9,"")</f>
        <v>1658247.7680158347</v>
      </c>
      <c r="I54" s="38" t="str">
        <f>IF('Point of connection'!D9&gt;0,'Point of connection'!D9,"")</f>
        <v/>
      </c>
      <c r="J54" s="38">
        <f>IF(SCADA!D9&gt;0,SCADA!D9,"")</f>
        <v>176861.17727272725</v>
      </c>
      <c r="K54" s="47">
        <f>IF('Substation-electrical'!D9&gt;0,'Substation-electrical'!D9,"")</f>
        <v>523870.71539797005</v>
      </c>
      <c r="L54" s="38" t="str">
        <f>IF(Transformers!F9&gt;0,Transformers!F9,"")</f>
        <v/>
      </c>
    </row>
    <row r="55" spans="1:12" x14ac:dyDescent="0.3">
      <c r="A55" s="34"/>
      <c r="B55" s="38">
        <f>IF('Crane Pads'!F10&gt;0,'Crane Pads'!F10,"")</f>
        <v>104201.67790931532</v>
      </c>
      <c r="C55" s="38">
        <f>IF(Foundations!F10&gt;0,Foundations!F10,"")</f>
        <v>3124749.1388161527</v>
      </c>
      <c r="D55" s="38">
        <f>IF('Substation-civil'!D10&gt;0,'Substation-civil'!D10,"")</f>
        <v>652537.04138322</v>
      </c>
      <c r="E55" s="38">
        <f>IF('Road Construction'!F10&gt;0,'Road Construction'!F10,"")</f>
        <v>725400</v>
      </c>
      <c r="F55" s="38" t="str">
        <f>IF('Road Upgrade'!F10&gt;0,'Road Upgrade'!F10,"")</f>
        <v/>
      </c>
      <c r="G55" s="38">
        <f>IF('Cabling to substation'!F10&gt;0,'Cabling to substation'!F10,"")</f>
        <v>337564.64674289682</v>
      </c>
      <c r="H55" s="38">
        <f>IF('Cabling to grid'!F10&gt;0,'Cabling to grid'!F10,"")</f>
        <v>1398247.7680158347</v>
      </c>
      <c r="I55" s="38" t="str">
        <f>IF('Point of connection'!D10&gt;0,'Point of connection'!D10,"")</f>
        <v/>
      </c>
      <c r="J55" s="38">
        <f>IF(SCADA!D10&gt;0,SCADA!D10,"")</f>
        <v>227225.83446969694</v>
      </c>
      <c r="K55" s="47">
        <f>IF('Substation-electrical'!D10&gt;0,'Substation-electrical'!D10,"")</f>
        <v>470665.39092487376</v>
      </c>
      <c r="L55" s="38" t="str">
        <f>IF(Transformers!F10&gt;0,Transformers!F10,"")</f>
        <v/>
      </c>
    </row>
    <row r="56" spans="1:12" x14ac:dyDescent="0.3">
      <c r="A56" s="34"/>
      <c r="B56" s="38">
        <f>IF('Crane Pads'!F11&gt;0,'Crane Pads'!F11,"")</f>
        <v>243488.34457598196</v>
      </c>
      <c r="C56" s="38">
        <f>IF(Foundations!F11&gt;0,Foundations!F11,"")</f>
        <v>4879000</v>
      </c>
      <c r="D56" s="38">
        <f>IF('Substation-civil'!D11&gt;0,'Substation-civil'!D11,"")</f>
        <v>781000</v>
      </c>
      <c r="E56" s="38" t="str">
        <f>IF('Road Construction'!F11&gt;0,'Road Construction'!F11,"")</f>
        <v/>
      </c>
      <c r="F56" s="38" t="str">
        <f>IF('Road Upgrade'!F11&gt;0,'Road Upgrade'!F11,"")</f>
        <v/>
      </c>
      <c r="G56" s="38">
        <f>IF('Cabling to substation'!F11&gt;0,'Cabling to substation'!F11,"")</f>
        <v>401612.64674289676</v>
      </c>
      <c r="H56" s="38">
        <f>IF('Cabling to grid'!F11&gt;0,'Cabling to grid'!F11,"")</f>
        <v>1324914.4346825015</v>
      </c>
      <c r="I56" s="38" t="str">
        <f>IF('Point of connection'!D11&gt;0,'Point of connection'!D11,"")</f>
        <v/>
      </c>
      <c r="J56" s="38">
        <f>IF(SCADA!D11&gt;0,SCADA!D11,"")</f>
        <v>224576.83446969694</v>
      </c>
      <c r="K56" s="47">
        <f>IF('Substation-electrical'!D11&gt;0,'Substation-electrical'!D11,"")</f>
        <v>407920.39092487376</v>
      </c>
      <c r="L56" s="38" t="str">
        <f>IF(Transformers!F11&gt;0,Transformers!F11,"")</f>
        <v/>
      </c>
    </row>
    <row r="57" spans="1:12" x14ac:dyDescent="0.3">
      <c r="A57" s="34"/>
      <c r="B57" s="38">
        <f>IF('Crane Pads'!F12&gt;0,'Crane Pads'!F12,"")</f>
        <v>836000</v>
      </c>
      <c r="C57" s="38" t="str">
        <f>IF(Foundations!F12&gt;0,Foundations!F12,"")</f>
        <v/>
      </c>
      <c r="D57" s="38" t="str">
        <f>IF('Substation-civil'!D12&gt;0,'Substation-civil'!D12,"")</f>
        <v/>
      </c>
      <c r="E57" s="38" t="str">
        <f>IF('Road Construction'!F12&gt;0,'Road Construction'!F12,"")</f>
        <v/>
      </c>
      <c r="F57" s="38" t="str">
        <f>IF('Road Upgrade'!F12&gt;0,'Road Upgrade'!F12,"")</f>
        <v/>
      </c>
      <c r="G57" s="38">
        <f>IF('Cabling to substation'!F12&gt;0,'Cabling to substation'!F12,"")</f>
        <v>285300</v>
      </c>
      <c r="H57" s="38">
        <f>IF('Cabling to grid'!F12&gt;0,'Cabling to grid'!F12,"")</f>
        <v>1283247.768015835</v>
      </c>
      <c r="I57" s="38" t="str">
        <f>IF('Point of connection'!D12&gt;0,'Point of connection'!D12,"")</f>
        <v/>
      </c>
      <c r="J57" s="38">
        <f>IF(SCADA!D12&gt;0,SCADA!D12,"")</f>
        <v>224576.83446969694</v>
      </c>
      <c r="K57" s="47">
        <f>IF('Substation-electrical'!D12&gt;0,'Substation-electrical'!D12,"")</f>
        <v>417000</v>
      </c>
      <c r="L57" s="38" t="str">
        <f>IF(Transformers!F12&gt;0,Transformers!F12,"")</f>
        <v/>
      </c>
    </row>
    <row r="58" spans="1:12" x14ac:dyDescent="0.3">
      <c r="A58" s="34"/>
      <c r="B58" s="38" t="str">
        <f>IF('Crane Pads'!F13&gt;0,'Crane Pads'!F13,"")</f>
        <v/>
      </c>
      <c r="C58" s="38" t="str">
        <f>IF(Foundations!F13&gt;0,Foundations!F13,"")</f>
        <v/>
      </c>
      <c r="D58" s="38" t="str">
        <f>IF('Substation-civil'!D13&gt;0,'Substation-civil'!D13,"")</f>
        <v/>
      </c>
      <c r="E58" s="38" t="str">
        <f>IF('Road Construction'!F13&gt;0,'Road Construction'!F13,"")</f>
        <v/>
      </c>
      <c r="F58" s="38" t="str">
        <f>IF('Road Upgrade'!F13&gt;0,'Road Upgrade'!F13,"")</f>
        <v/>
      </c>
      <c r="G58" s="38" t="str">
        <f>IF('Cabling to substation'!F13&gt;0,'Cabling to substation'!F13,"")</f>
        <v/>
      </c>
      <c r="H58" s="38">
        <f>IF('Cabling to grid'!F13&gt;0,'Cabling to grid'!F13,"")</f>
        <v>1172186.231827179</v>
      </c>
      <c r="I58" s="38" t="str">
        <f>IF('Point of connection'!D13&gt;0,'Point of connection'!D13,"")</f>
        <v/>
      </c>
      <c r="J58" s="38">
        <f>IF(SCADA!D13&gt;0,SCADA!D13,"")</f>
        <v>224345.83446969694</v>
      </c>
      <c r="K58" s="47" t="str">
        <f>IF('Substation-electrical'!D13&gt;0,'Substation-electrical'!D13,"")</f>
        <v/>
      </c>
      <c r="L58" s="38" t="str">
        <f>IF(Transformers!F13&gt;0,Transformers!F13,"")</f>
        <v/>
      </c>
    </row>
    <row r="59" spans="1:12" x14ac:dyDescent="0.3">
      <c r="A59" s="34"/>
      <c r="B59" s="38" t="str">
        <f>IF('Crane Pads'!F14&gt;0,'Crane Pads'!F14,"")</f>
        <v/>
      </c>
      <c r="C59" s="38" t="str">
        <f>IF(Foundations!F14&gt;0,Foundations!F14,"")</f>
        <v/>
      </c>
      <c r="D59" s="38" t="str">
        <f>IF('Substation-civil'!D14&gt;0,'Substation-civil'!D14,"")</f>
        <v/>
      </c>
      <c r="E59" s="38" t="str">
        <f>IF('Road Construction'!F14&gt;0,'Road Construction'!F14,"")</f>
        <v/>
      </c>
      <c r="F59" s="38" t="str">
        <f>IF('Road Upgrade'!F14&gt;0,'Road Upgrade'!F14,"")</f>
        <v/>
      </c>
      <c r="G59" s="38" t="str">
        <f>IF('Cabling to substation'!F14&gt;0,'Cabling to substation'!F14,"")</f>
        <v/>
      </c>
      <c r="H59" s="38">
        <f>IF('Cabling to grid'!F14&gt;0,'Cabling to grid'!F14,"")</f>
        <v>1042186.2318271789</v>
      </c>
      <c r="I59" s="38" t="str">
        <f>IF('Point of connection'!D14&gt;0,'Point of connection'!D14,"")</f>
        <v/>
      </c>
      <c r="J59" s="38">
        <f>IF(SCADA!D14&gt;0,SCADA!D14,"")</f>
        <v>265000</v>
      </c>
      <c r="K59" s="47" t="str">
        <f>IF('Substation-electrical'!D14&gt;0,'Substation-electrical'!D14,"")</f>
        <v/>
      </c>
      <c r="L59" s="38" t="str">
        <f>IF(Transformers!F14&gt;0,Transformers!F14,"")</f>
        <v/>
      </c>
    </row>
    <row r="60" spans="1:12" x14ac:dyDescent="0.3">
      <c r="A60" s="34"/>
      <c r="B60" s="38" t="str">
        <f>IF('Crane Pads'!F15&gt;0,'Crane Pads'!F15,"")</f>
        <v/>
      </c>
      <c r="C60" s="38" t="str">
        <f>IF(Foundations!F15&gt;0,Foundations!F15,"")</f>
        <v/>
      </c>
      <c r="D60" s="38" t="str">
        <f>IF('Substation-civil'!D15&gt;0,'Substation-civil'!D15,"")</f>
        <v/>
      </c>
      <c r="E60" s="38" t="str">
        <f>IF('Road Construction'!F15&gt;0,'Road Construction'!F15,"")</f>
        <v/>
      </c>
      <c r="F60" s="38" t="str">
        <f>IF('Road Upgrade'!F15&gt;0,'Road Upgrade'!F15,"")</f>
        <v/>
      </c>
      <c r="G60" s="38" t="str">
        <f>IF('Cabling to substation'!F15&gt;0,'Cabling to substation'!F15,"")</f>
        <v/>
      </c>
      <c r="H60" s="38">
        <f>IF('Cabling to grid'!F15&gt;0,'Cabling to grid'!F15,"")</f>
        <v>1002186.2318271789</v>
      </c>
      <c r="I60" s="38" t="str">
        <f>IF('Point of connection'!D15&gt;0,'Point of connection'!D15,"")</f>
        <v/>
      </c>
      <c r="J60" s="38" t="str">
        <f>IF(SCADA!D15&gt;0,SCADA!D15,"")</f>
        <v/>
      </c>
      <c r="K60" s="47" t="str">
        <f>IF('Substation-electrical'!D15&gt;0,'Substation-electrical'!D15,"")</f>
        <v/>
      </c>
      <c r="L60" s="38" t="str">
        <f>IF(Transformers!F15&gt;0,Transformers!F15,"")</f>
        <v/>
      </c>
    </row>
    <row r="61" spans="1:12" x14ac:dyDescent="0.3">
      <c r="A61" s="34"/>
      <c r="B61" s="38" t="str">
        <f>IF('Crane Pads'!F16&gt;0,'Crane Pads'!F16,"")</f>
        <v/>
      </c>
      <c r="C61" s="38" t="str">
        <f>IF(Foundations!F16&gt;0,Foundations!F16,"")</f>
        <v/>
      </c>
      <c r="D61" s="38" t="str">
        <f>IF('Substation-civil'!D16&gt;0,'Substation-civil'!D16,"")</f>
        <v/>
      </c>
      <c r="E61" s="38" t="str">
        <f>IF('Road Construction'!F16&gt;0,'Road Construction'!F16,"")</f>
        <v/>
      </c>
      <c r="F61" s="38" t="str">
        <f>IF('Road Upgrade'!F16&gt;0,'Road Upgrade'!F16,"")</f>
        <v/>
      </c>
      <c r="G61" s="38" t="str">
        <f>IF('Cabling to substation'!F16&gt;0,'Cabling to substation'!F16,"")</f>
        <v/>
      </c>
      <c r="H61" s="38">
        <f>IF('Cabling to grid'!F16&gt;0,'Cabling to grid'!F16,"")</f>
        <v>979686.23182717885</v>
      </c>
      <c r="I61" s="38" t="str">
        <f>IF('Point of connection'!D16&gt;0,'Point of connection'!D16,"")</f>
        <v/>
      </c>
      <c r="J61" s="38" t="str">
        <f>IF(SCADA!D16&gt;0,SCADA!D16,"")</f>
        <v/>
      </c>
      <c r="K61" s="47" t="str">
        <f>IF('Substation-electrical'!D16&gt;0,'Substation-electrical'!D16,"")</f>
        <v/>
      </c>
      <c r="L61" s="38" t="str">
        <f>IF(Transformers!F16&gt;0,Transformers!F16,"")</f>
        <v/>
      </c>
    </row>
    <row r="62" spans="1:12" x14ac:dyDescent="0.3">
      <c r="A62" s="34"/>
      <c r="B62" s="38" t="str">
        <f>IF('Crane Pads'!F17&gt;0,'Crane Pads'!F17,"")</f>
        <v/>
      </c>
      <c r="C62" s="38" t="str">
        <f>IF(Foundations!F17&gt;0,Foundations!F17,"")</f>
        <v/>
      </c>
      <c r="D62" s="38" t="str">
        <f>IF('Substation-civil'!D17&gt;0,'Substation-civil'!D17,"")</f>
        <v/>
      </c>
      <c r="E62" s="38" t="str">
        <f>IF('Road Construction'!F17&gt;0,'Road Construction'!F17,"")</f>
        <v/>
      </c>
      <c r="F62" s="38" t="str">
        <f>IF('Road Upgrade'!F17&gt;0,'Road Upgrade'!F17,"")</f>
        <v/>
      </c>
      <c r="G62" s="38" t="str">
        <f>IF('Cabling to substation'!F17&gt;0,'Cabling to substation'!F17,"")</f>
        <v/>
      </c>
      <c r="H62" s="38">
        <f>IF('Cabling to grid'!F17&gt;0,'Cabling to grid'!F17,"")</f>
        <v>1045311.7390963073</v>
      </c>
      <c r="I62" s="38" t="str">
        <f>IF('Point of connection'!D17&gt;0,'Point of connection'!D17,"")</f>
        <v/>
      </c>
      <c r="J62" s="38" t="str">
        <f>IF(SCADA!D17&gt;0,SCADA!D17,"")</f>
        <v/>
      </c>
      <c r="K62" s="47" t="str">
        <f>IF('Substation-electrical'!D17&gt;0,'Substation-electrical'!D17,"")</f>
        <v/>
      </c>
      <c r="L62" s="38" t="str">
        <f>IF(Transformers!F17&gt;0,Transformers!F17,"")</f>
        <v/>
      </c>
    </row>
    <row r="63" spans="1:12" x14ac:dyDescent="0.3">
      <c r="A63" s="34"/>
      <c r="B63" s="38" t="str">
        <f>IF('Crane Pads'!F18&gt;0,'Crane Pads'!F18,"")</f>
        <v/>
      </c>
      <c r="C63" s="38" t="str">
        <f>IF(Foundations!F18&gt;0,Foundations!F18,"")</f>
        <v/>
      </c>
      <c r="D63" s="38" t="str">
        <f>IF('Substation-civil'!D18&gt;0,'Substation-civil'!D18,"")</f>
        <v/>
      </c>
      <c r="E63" s="38" t="str">
        <f>IF('Road Construction'!F18&gt;0,'Road Construction'!F18,"")</f>
        <v/>
      </c>
      <c r="F63" s="38" t="str">
        <f>IF('Road Upgrade'!F18&gt;0,'Road Upgrade'!F18,"")</f>
        <v/>
      </c>
      <c r="G63" s="38" t="str">
        <f>IF('Cabling to substation'!F18&gt;0,'Cabling to substation'!F18,"")</f>
        <v/>
      </c>
      <c r="H63" s="38">
        <f>IF('Cabling to grid'!F18&gt;0,'Cabling to grid'!F18,"")</f>
        <v>915311.73909630731</v>
      </c>
      <c r="I63" s="38" t="str">
        <f>IF('Point of connection'!D18&gt;0,'Point of connection'!D18,"")</f>
        <v/>
      </c>
      <c r="J63" s="38" t="str">
        <f>IF(SCADA!D18&gt;0,SCADA!D18,"")</f>
        <v/>
      </c>
      <c r="K63" s="47" t="str">
        <f>IF('Substation-electrical'!D18&gt;0,'Substation-electrical'!D18,"")</f>
        <v/>
      </c>
      <c r="L63" s="38" t="str">
        <f>IF(Transformers!F18&gt;0,Transformers!F18,"")</f>
        <v/>
      </c>
    </row>
    <row r="64" spans="1:12" x14ac:dyDescent="0.3">
      <c r="A64" s="34"/>
      <c r="B64" s="38" t="str">
        <f>IF('Crane Pads'!F19&gt;0,'Crane Pads'!F19,"")</f>
        <v/>
      </c>
      <c r="C64" s="38" t="str">
        <f>IF(Foundations!F19&gt;0,Foundations!F19,"")</f>
        <v/>
      </c>
      <c r="D64" s="38" t="str">
        <f>IF('Substation-civil'!D19&gt;0,'Substation-civil'!D19,"")</f>
        <v/>
      </c>
      <c r="E64" s="38" t="str">
        <f>IF('Road Construction'!F19&gt;0,'Road Construction'!F19,"")</f>
        <v/>
      </c>
      <c r="F64" s="38" t="str">
        <f>IF('Road Upgrade'!F19&gt;0,'Road Upgrade'!F19,"")</f>
        <v/>
      </c>
      <c r="G64" s="38" t="str">
        <f>IF('Cabling to substation'!F19&gt;0,'Cabling to substation'!F19,"")</f>
        <v/>
      </c>
      <c r="H64" s="38">
        <f>IF('Cabling to grid'!F19&gt;0,'Cabling to grid'!F19,"")</f>
        <v>3087624.2898232201</v>
      </c>
      <c r="I64" s="38" t="str">
        <f>IF('Point of connection'!D19&gt;0,'Point of connection'!D19,"")</f>
        <v/>
      </c>
      <c r="J64" s="38" t="str">
        <f>IF(SCADA!D19&gt;0,SCADA!D19,"")</f>
        <v/>
      </c>
      <c r="K64" s="47" t="str">
        <f>IF('Substation-electrical'!D19&gt;0,'Substation-electrical'!D19,"")</f>
        <v/>
      </c>
      <c r="L64" s="38" t="str">
        <f>IF(Transformers!F19&gt;0,Transformers!F19,"")</f>
        <v/>
      </c>
    </row>
    <row r="65" spans="1:12" x14ac:dyDescent="0.3">
      <c r="A65" s="34"/>
      <c r="B65" s="38" t="str">
        <f>IF('Crane Pads'!F20&gt;0,'Crane Pads'!F20,"")</f>
        <v/>
      </c>
      <c r="C65" s="38" t="str">
        <f>IF(Foundations!F20&gt;0,Foundations!F20,"")</f>
        <v/>
      </c>
      <c r="D65" s="38" t="str">
        <f>IF('Substation-civil'!D20&gt;0,'Substation-civil'!D20,"")</f>
        <v/>
      </c>
      <c r="E65" s="38" t="str">
        <f>IF('Road Construction'!F20&gt;0,'Road Construction'!F20,"")</f>
        <v/>
      </c>
      <c r="F65" s="38" t="str">
        <f>IF('Road Upgrade'!F20&gt;0,'Road Upgrade'!F20,"")</f>
        <v/>
      </c>
      <c r="G65" s="38" t="str">
        <f>IF('Cabling to substation'!F20&gt;0,'Cabling to substation'!F20,"")</f>
        <v/>
      </c>
      <c r="H65" s="38">
        <f>IF('Cabling to grid'!F20&gt;0,'Cabling to grid'!F20,"")</f>
        <v>2517624.2898232201</v>
      </c>
      <c r="I65" s="38" t="str">
        <f>IF('Point of connection'!D20&gt;0,'Point of connection'!D20,"")</f>
        <v/>
      </c>
      <c r="J65" s="38" t="str">
        <f>IF(SCADA!D20&gt;0,SCADA!D20,"")</f>
        <v/>
      </c>
      <c r="K65" s="47" t="str">
        <f>IF('Substation-electrical'!D20&gt;0,'Substation-electrical'!D20,"")</f>
        <v/>
      </c>
      <c r="L65" s="38" t="str">
        <f>IF(Transformers!F20&gt;0,Transformers!F20,"")</f>
        <v/>
      </c>
    </row>
    <row r="66" spans="1:12" x14ac:dyDescent="0.3">
      <c r="A66" s="34"/>
      <c r="B66" s="38" t="str">
        <f>IF('Crane Pads'!F21&gt;0,'Crane Pads'!F21,"")</f>
        <v/>
      </c>
      <c r="C66" s="38" t="str">
        <f>IF(Foundations!F21&gt;0,Foundations!F21,"")</f>
        <v/>
      </c>
      <c r="D66" s="38" t="str">
        <f>IF('Substation-civil'!D21&gt;0,'Substation-civil'!D21,"")</f>
        <v/>
      </c>
      <c r="E66" s="38" t="str">
        <f>IF('Road Construction'!F21&gt;0,'Road Construction'!F21,"")</f>
        <v/>
      </c>
      <c r="F66" s="38" t="str">
        <f>IF('Road Upgrade'!F21&gt;0,'Road Upgrade'!F21,"")</f>
        <v/>
      </c>
      <c r="G66" s="38" t="str">
        <f>IF('Cabling to substation'!F21&gt;0,'Cabling to substation'!F21,"")</f>
        <v/>
      </c>
      <c r="H66" s="38">
        <f>IF('Cabling to grid'!F21&gt;0,'Cabling to grid'!F21,"")</f>
        <v>2227624.2898232201</v>
      </c>
      <c r="I66" s="38" t="str">
        <f>IF('Point of connection'!D21&gt;0,'Point of connection'!D21,"")</f>
        <v/>
      </c>
      <c r="J66" s="38" t="str">
        <f>IF(SCADA!D21&gt;0,SCADA!D21,"")</f>
        <v/>
      </c>
      <c r="K66" s="47" t="str">
        <f>IF('Substation-electrical'!D21&gt;0,'Substation-electrical'!D21,"")</f>
        <v/>
      </c>
      <c r="L66" s="38" t="str">
        <f>IF(Transformers!F21&gt;0,Transformers!F21,"")</f>
        <v/>
      </c>
    </row>
    <row r="67" spans="1:12" x14ac:dyDescent="0.3">
      <c r="A67" s="34"/>
      <c r="B67" s="38" t="str">
        <f>IF('Crane Pads'!F22&gt;0,'Crane Pads'!F22,"")</f>
        <v/>
      </c>
      <c r="C67" s="38" t="str">
        <f>IF(Foundations!F22&gt;0,Foundations!F22,"")</f>
        <v/>
      </c>
      <c r="D67" s="38" t="str">
        <f>IF('Substation-civil'!D22&gt;0,'Substation-civil'!D22,"")</f>
        <v/>
      </c>
      <c r="E67" s="38" t="str">
        <f>IF('Road Construction'!F22&gt;0,'Road Construction'!F22,"")</f>
        <v/>
      </c>
      <c r="F67" s="38" t="str">
        <f>IF('Road Upgrade'!F22&gt;0,'Road Upgrade'!F22,"")</f>
        <v/>
      </c>
      <c r="G67" s="38" t="str">
        <f>IF('Cabling to substation'!F22&gt;0,'Cabling to substation'!F22,"")</f>
        <v/>
      </c>
      <c r="H67" s="38">
        <f>IF('Cabling to grid'!F22&gt;0,'Cabling to grid'!F22,"")</f>
        <v>2082624.2898232201</v>
      </c>
      <c r="I67" s="38" t="str">
        <f>IF('Point of connection'!D22&gt;0,'Point of connection'!D22,"")</f>
        <v/>
      </c>
      <c r="J67" s="38" t="str">
        <f>IF(SCADA!D22&gt;0,SCADA!D22,"")</f>
        <v/>
      </c>
      <c r="K67" s="47" t="str">
        <f>IF('Substation-electrical'!D22&gt;0,'Substation-electrical'!D22,"")</f>
        <v/>
      </c>
      <c r="L67" s="38" t="str">
        <f>IF(Transformers!F22&gt;0,Transformers!F22,"")</f>
        <v/>
      </c>
    </row>
    <row r="68" spans="1:12" x14ac:dyDescent="0.3">
      <c r="A68" s="34"/>
      <c r="B68" s="38" t="str">
        <f>IF('Crane Pads'!F23&gt;0,'Crane Pads'!F23,"")</f>
        <v/>
      </c>
      <c r="C68" s="38" t="str">
        <f>IF(Foundations!F23&gt;0,Foundations!F23,"")</f>
        <v/>
      </c>
      <c r="D68" s="38" t="str">
        <f>IF('Substation-civil'!D23&gt;0,'Substation-civil'!D23,"")</f>
        <v/>
      </c>
      <c r="E68" s="38" t="str">
        <f>IF('Road Construction'!F23&gt;0,'Road Construction'!F23,"")</f>
        <v/>
      </c>
      <c r="F68" s="38" t="str">
        <f>IF('Road Upgrade'!F23&gt;0,'Road Upgrade'!F23,"")</f>
        <v/>
      </c>
      <c r="G68" s="38" t="str">
        <f>IF('Cabling to substation'!F23&gt;0,'Cabling to substation'!F23,"")</f>
        <v/>
      </c>
      <c r="H68" s="38">
        <f>IF('Cabling to grid'!F23&gt;0,'Cabling to grid'!F23,"")</f>
        <v>2060627.5363456423</v>
      </c>
      <c r="I68" s="38" t="str">
        <f>IF('Point of connection'!D23&gt;0,'Point of connection'!D23,"")</f>
        <v/>
      </c>
      <c r="J68" s="38" t="str">
        <f>IF(SCADA!D23&gt;0,SCADA!D23,"")</f>
        <v/>
      </c>
      <c r="K68" s="47" t="str">
        <f>IF('Substation-electrical'!D23&gt;0,'Substation-electrical'!D23,"")</f>
        <v/>
      </c>
      <c r="L68" s="38" t="str">
        <f>IF(Transformers!F23&gt;0,Transformers!F23,"")</f>
        <v/>
      </c>
    </row>
    <row r="69" spans="1:12" x14ac:dyDescent="0.3">
      <c r="A69" s="34"/>
      <c r="B69" s="38" t="str">
        <f>IF('Crane Pads'!F24&gt;0,'Crane Pads'!F24,"")</f>
        <v/>
      </c>
      <c r="C69" s="38" t="str">
        <f>IF(Foundations!F24&gt;0,Foundations!F24,"")</f>
        <v/>
      </c>
      <c r="D69" s="38" t="str">
        <f>IF('Substation-civil'!D24&gt;0,'Substation-civil'!D24,"")</f>
        <v/>
      </c>
      <c r="E69" s="38" t="str">
        <f>IF('Road Construction'!F24&gt;0,'Road Construction'!F24,"")</f>
        <v/>
      </c>
      <c r="F69" s="38" t="str">
        <f>IF('Road Upgrade'!F24&gt;0,'Road Upgrade'!F24,"")</f>
        <v/>
      </c>
      <c r="G69" s="38" t="str">
        <f>IF('Cabling to substation'!F24&gt;0,'Cabling to substation'!F24,"")</f>
        <v/>
      </c>
      <c r="H69" s="38">
        <f>IF('Cabling to grid'!F24&gt;0,'Cabling to grid'!F24,"")</f>
        <v>1695627.5363456423</v>
      </c>
      <c r="I69" s="38" t="str">
        <f>IF('Point of connection'!D24&gt;0,'Point of connection'!D24,"")</f>
        <v/>
      </c>
      <c r="J69" s="38" t="str">
        <f>IF(SCADA!D24&gt;0,SCADA!D24,"")</f>
        <v/>
      </c>
      <c r="K69" s="47" t="str">
        <f>IF('Substation-electrical'!D24&gt;0,'Substation-electrical'!D24,"")</f>
        <v/>
      </c>
      <c r="L69" s="38" t="str">
        <f>IF(Transformers!F24&gt;0,Transformers!F24,"")</f>
        <v/>
      </c>
    </row>
    <row r="70" spans="1:12" x14ac:dyDescent="0.3">
      <c r="A70" s="34"/>
      <c r="B70" s="38" t="str">
        <f>IF('Crane Pads'!F25&gt;0,'Crane Pads'!F25,"")</f>
        <v/>
      </c>
      <c r="C70" s="38" t="str">
        <f>IF(Foundations!F25&gt;0,Foundations!F25,"")</f>
        <v/>
      </c>
      <c r="D70" s="38" t="str">
        <f>IF('Substation-civil'!D25&gt;0,'Substation-civil'!D25,"")</f>
        <v/>
      </c>
      <c r="E70" s="38" t="str">
        <f>IF('Road Construction'!F25&gt;0,'Road Construction'!F25,"")</f>
        <v/>
      </c>
      <c r="F70" s="38" t="str">
        <f>IF('Road Upgrade'!F25&gt;0,'Road Upgrade'!F25,"")</f>
        <v/>
      </c>
      <c r="G70" s="38" t="str">
        <f>IF('Cabling to substation'!F25&gt;0,'Cabling to substation'!F25,"")</f>
        <v/>
      </c>
      <c r="H70" s="38">
        <f>IF('Cabling to grid'!F25&gt;0,'Cabling to grid'!F25,"")</f>
        <v>1013127.5363456423</v>
      </c>
      <c r="I70" s="38" t="str">
        <f>IF('Point of connection'!D25&gt;0,'Point of connection'!D25,"")</f>
        <v/>
      </c>
      <c r="J70" s="38" t="str">
        <f>IF(SCADA!D25&gt;0,SCADA!D25,"")</f>
        <v/>
      </c>
      <c r="K70" s="47" t="str">
        <f>IF('Substation-electrical'!D25&gt;0,'Substation-electrical'!D25,"")</f>
        <v/>
      </c>
      <c r="L70" s="38" t="str">
        <f>IF(Transformers!F25&gt;0,Transformers!F25,"")</f>
        <v/>
      </c>
    </row>
    <row r="71" spans="1:12" x14ac:dyDescent="0.3">
      <c r="A71" s="34"/>
      <c r="B71" s="38" t="str">
        <f>IF('Crane Pads'!F26&gt;0,'Crane Pads'!F26,"")</f>
        <v/>
      </c>
      <c r="C71" s="38" t="str">
        <f>IF(Foundations!F26&gt;0,Foundations!F26,"")</f>
        <v/>
      </c>
      <c r="D71" s="38" t="str">
        <f>IF('Substation-civil'!D26&gt;0,'Substation-civil'!D26,"")</f>
        <v/>
      </c>
      <c r="E71" s="38" t="str">
        <f>IF('Road Construction'!F26&gt;0,'Road Construction'!F26,"")</f>
        <v/>
      </c>
      <c r="F71" s="38" t="str">
        <f>IF('Road Upgrade'!F26&gt;0,'Road Upgrade'!F26,"")</f>
        <v/>
      </c>
      <c r="G71" s="38" t="str">
        <f>IF('Cabling to substation'!F26&gt;0,'Cabling to substation'!F26,"")</f>
        <v/>
      </c>
      <c r="H71" s="38">
        <f>IF('Cabling to grid'!F26&gt;0,'Cabling to grid'!F26,"")</f>
        <v>804516.33634564234</v>
      </c>
      <c r="I71" s="38" t="str">
        <f>IF('Point of connection'!D26&gt;0,'Point of connection'!D26,"")</f>
        <v/>
      </c>
      <c r="J71" s="38" t="str">
        <f>IF(SCADA!D26&gt;0,SCADA!D26,"")</f>
        <v/>
      </c>
      <c r="K71" s="47" t="str">
        <f>IF('Substation-electrical'!D26&gt;0,'Substation-electrical'!D26,"")</f>
        <v/>
      </c>
      <c r="L71" s="38" t="str">
        <f>IF(Transformers!F26&gt;0,Transformers!F26,"")</f>
        <v/>
      </c>
    </row>
    <row r="72" spans="1:12" x14ac:dyDescent="0.3">
      <c r="A72" s="34"/>
      <c r="B72" s="38" t="str">
        <f>IF('Crane Pads'!F27&gt;0,'Crane Pads'!F27,"")</f>
        <v/>
      </c>
      <c r="C72" s="38" t="str">
        <f>IF(Foundations!F27&gt;0,Foundations!F27,"")</f>
        <v/>
      </c>
      <c r="D72" s="38" t="str">
        <f>IF('Substation-civil'!D27&gt;0,'Substation-civil'!D27,"")</f>
        <v/>
      </c>
      <c r="E72" s="38" t="str">
        <f>IF('Road Construction'!F27&gt;0,'Road Construction'!F27,"")</f>
        <v/>
      </c>
      <c r="F72" s="38" t="str">
        <f>IF('Road Upgrade'!F27&gt;0,'Road Upgrade'!F27,"")</f>
        <v/>
      </c>
      <c r="G72" s="38" t="str">
        <f>IF('Cabling to substation'!F27&gt;0,'Cabling to substation'!F27,"")</f>
        <v/>
      </c>
      <c r="H72" s="38" t="str">
        <f>IF('Cabling to grid'!F27&gt;0,'Cabling to grid'!F27,"")</f>
        <v/>
      </c>
      <c r="I72" s="38" t="str">
        <f>IF('Point of connection'!D27&gt;0,'Point of connection'!D27,"")</f>
        <v/>
      </c>
      <c r="J72" s="38" t="str">
        <f>IF(SCADA!D27&gt;0,SCADA!D27,"")</f>
        <v/>
      </c>
      <c r="K72" s="47" t="str">
        <f>IF('Substation-electrical'!D27&gt;0,'Substation-electrical'!D27,"")</f>
        <v/>
      </c>
      <c r="L72" s="38" t="str">
        <f>IF(Transformers!F27&gt;0,Transformers!F27,"")</f>
        <v/>
      </c>
    </row>
    <row r="73" spans="1:12" x14ac:dyDescent="0.3">
      <c r="A73" s="34"/>
      <c r="B73" s="38" t="str">
        <f>IF('Crane Pads'!F28&gt;0,'Crane Pads'!F28,"")</f>
        <v/>
      </c>
      <c r="C73" s="38" t="str">
        <f>IF(Foundations!F28&gt;0,Foundations!F28,"")</f>
        <v/>
      </c>
      <c r="D73" s="38" t="str">
        <f>IF('Substation-civil'!D28&gt;0,'Substation-civil'!D28,"")</f>
        <v/>
      </c>
      <c r="E73" s="38" t="str">
        <f>IF('Road Construction'!F28&gt;0,'Road Construction'!F28,"")</f>
        <v/>
      </c>
      <c r="F73" s="38" t="str">
        <f>IF('Road Upgrade'!F28&gt;0,'Road Upgrade'!F28,"")</f>
        <v/>
      </c>
      <c r="G73" s="38" t="str">
        <f>IF('Cabling to substation'!F28&gt;0,'Cabling to substation'!F28,"")</f>
        <v/>
      </c>
      <c r="H73" s="38" t="str">
        <f>IF('Cabling to grid'!F28&gt;0,'Cabling to grid'!F28,"")</f>
        <v/>
      </c>
      <c r="I73" s="38" t="str">
        <f>IF('Point of connection'!D28&gt;0,'Point of connection'!D28,"")</f>
        <v/>
      </c>
      <c r="J73" s="38" t="str">
        <f>IF(SCADA!D28&gt;0,SCADA!D28,"")</f>
        <v/>
      </c>
      <c r="K73" s="47" t="str">
        <f>IF('Substation-electrical'!D28&gt;0,'Substation-electrical'!D28,"")</f>
        <v/>
      </c>
      <c r="L73" s="38" t="str">
        <f>IF(Transformers!F28&gt;0,Transformers!F28,"")</f>
        <v/>
      </c>
    </row>
    <row r="74" spans="1:12" x14ac:dyDescent="0.3">
      <c r="A74" s="34"/>
      <c r="B74" s="38" t="str">
        <f>IF('Crane Pads'!F29&gt;0,'Crane Pads'!F29,"")</f>
        <v/>
      </c>
      <c r="C74" s="38" t="str">
        <f>IF(Foundations!F29&gt;0,Foundations!F29,"")</f>
        <v/>
      </c>
      <c r="D74" s="38" t="str">
        <f>IF('Substation-civil'!D29&gt;0,'Substation-civil'!D29,"")</f>
        <v/>
      </c>
      <c r="E74" s="38" t="str">
        <f>IF('Road Construction'!F29&gt;0,'Road Construction'!F29,"")</f>
        <v/>
      </c>
      <c r="F74" s="38" t="str">
        <f>IF('Road Upgrade'!F29&gt;0,'Road Upgrade'!F29,"")</f>
        <v/>
      </c>
      <c r="G74" s="38" t="str">
        <f>IF('Cabling to substation'!F29&gt;0,'Cabling to substation'!F29,"")</f>
        <v/>
      </c>
      <c r="H74" s="38" t="str">
        <f>IF('Cabling to grid'!F29&gt;0,'Cabling to grid'!F29,"")</f>
        <v/>
      </c>
      <c r="I74" s="38" t="str">
        <f>IF('Point of connection'!D29&gt;0,'Point of connection'!D29,"")</f>
        <v/>
      </c>
      <c r="J74" s="38" t="str">
        <f>IF(SCADA!D29&gt;0,SCADA!D29,"")</f>
        <v/>
      </c>
      <c r="K74" s="47" t="str">
        <f>IF('Substation-electrical'!D29&gt;0,'Substation-electrical'!D29,"")</f>
        <v/>
      </c>
      <c r="L74" s="38" t="str">
        <f>IF(Transformers!F29&gt;0,Transformers!F29,"")</f>
        <v/>
      </c>
    </row>
    <row r="75" spans="1:12" x14ac:dyDescent="0.3">
      <c r="A75" s="34"/>
      <c r="B75" s="38" t="str">
        <f>IF('Crane Pads'!F30&gt;0,'Crane Pads'!F30,"")</f>
        <v/>
      </c>
      <c r="C75" s="38" t="str">
        <f>IF(Foundations!F30&gt;0,Foundations!F30,"")</f>
        <v/>
      </c>
      <c r="D75" s="38" t="str">
        <f>IF('Substation-civil'!D30&gt;0,'Substation-civil'!D30,"")</f>
        <v/>
      </c>
      <c r="E75" s="38" t="str">
        <f>IF('Road Construction'!F30&gt;0,'Road Construction'!F30,"")</f>
        <v/>
      </c>
      <c r="F75" s="38" t="str">
        <f>IF('Road Upgrade'!F30&gt;0,'Road Upgrade'!F30,"")</f>
        <v/>
      </c>
      <c r="G75" s="38" t="str">
        <f>IF('Cabling to substation'!F30&gt;0,'Cabling to substation'!F30,"")</f>
        <v/>
      </c>
      <c r="H75" s="38" t="str">
        <f>IF('Cabling to grid'!F30&gt;0,'Cabling to grid'!F30,"")</f>
        <v/>
      </c>
      <c r="I75" s="38" t="str">
        <f>IF('Point of connection'!D30&gt;0,'Point of connection'!D30,"")</f>
        <v/>
      </c>
      <c r="J75" s="38" t="str">
        <f>IF(SCADA!D30&gt;0,SCADA!D30,"")</f>
        <v/>
      </c>
      <c r="K75" s="47" t="str">
        <f>IF('Substation-electrical'!D30&gt;0,'Substation-electrical'!D30,"")</f>
        <v/>
      </c>
      <c r="L75" s="38" t="str">
        <f>IF(Transformers!F30&gt;0,Transformers!F30,"")</f>
        <v/>
      </c>
    </row>
    <row r="76" spans="1:12" x14ac:dyDescent="0.3">
      <c r="A76" s="34"/>
      <c r="B76" s="38" t="str">
        <f>IF('Crane Pads'!F31&gt;0,'Crane Pads'!F31,"")</f>
        <v/>
      </c>
      <c r="C76" s="38" t="str">
        <f>IF(Foundations!F31&gt;0,Foundations!F31,"")</f>
        <v/>
      </c>
      <c r="D76" s="38" t="str">
        <f>IF('Substation-civil'!D31&gt;0,'Substation-civil'!D31,"")</f>
        <v/>
      </c>
      <c r="E76" s="38" t="str">
        <f>IF('Road Construction'!F31&gt;0,'Road Construction'!F31,"")</f>
        <v/>
      </c>
      <c r="F76" s="38" t="str">
        <f>IF('Road Upgrade'!F31&gt;0,'Road Upgrade'!F31,"")</f>
        <v/>
      </c>
      <c r="G76" s="38" t="str">
        <f>IF('Cabling to substation'!F31&gt;0,'Cabling to substation'!F31,"")</f>
        <v/>
      </c>
      <c r="H76" s="38" t="str">
        <f>IF('Cabling to grid'!F31&gt;0,'Cabling to grid'!F31,"")</f>
        <v/>
      </c>
      <c r="I76" s="38" t="str">
        <f>IF('Point of connection'!D31&gt;0,'Point of connection'!D31,"")</f>
        <v/>
      </c>
      <c r="J76" s="38" t="str">
        <f>IF(SCADA!D31&gt;0,SCADA!D31,"")</f>
        <v/>
      </c>
      <c r="K76" s="47" t="str">
        <f>IF('Substation-electrical'!D31&gt;0,'Substation-electrical'!D31,"")</f>
        <v/>
      </c>
      <c r="L76" s="38" t="str">
        <f>IF(Transformers!F31&gt;0,Transformers!F31,"")</f>
        <v/>
      </c>
    </row>
    <row r="77" spans="1:12" x14ac:dyDescent="0.3">
      <c r="A77" s="34"/>
      <c r="B77" s="38" t="str">
        <f>IF('Crane Pads'!F32&gt;0,'Crane Pads'!F32,"")</f>
        <v/>
      </c>
      <c r="C77" s="38" t="str">
        <f>IF(Foundations!F32&gt;0,Foundations!F32,"")</f>
        <v/>
      </c>
      <c r="D77" s="38" t="str">
        <f>IF('Substation-civil'!D32&gt;0,'Substation-civil'!D32,"")</f>
        <v/>
      </c>
      <c r="E77" s="38" t="str">
        <f>IF('Road Construction'!F32&gt;0,'Road Construction'!F32,"")</f>
        <v/>
      </c>
      <c r="F77" s="38" t="str">
        <f>IF('Road Upgrade'!F32&gt;0,'Road Upgrade'!F32,"")</f>
        <v/>
      </c>
      <c r="G77" s="38" t="str">
        <f>IF('Cabling to substation'!F32&gt;0,'Cabling to substation'!F32,"")</f>
        <v/>
      </c>
      <c r="H77" s="38" t="str">
        <f>IF('Cabling to grid'!F32&gt;0,'Cabling to grid'!F32,"")</f>
        <v/>
      </c>
      <c r="I77" s="38" t="str">
        <f>IF('Point of connection'!D32&gt;0,'Point of connection'!D32,"")</f>
        <v/>
      </c>
      <c r="J77" s="38" t="str">
        <f>IF(SCADA!D32&gt;0,SCADA!D32,"")</f>
        <v/>
      </c>
      <c r="K77" s="47" t="str">
        <f>IF('Substation-electrical'!D32&gt;0,'Substation-electrical'!D32,"")</f>
        <v/>
      </c>
      <c r="L77" s="38" t="str">
        <f>IF(Transformers!F32&gt;0,Transformers!F32,"")</f>
        <v/>
      </c>
    </row>
    <row r="78" spans="1:12" x14ac:dyDescent="0.3">
      <c r="A78" s="34"/>
      <c r="B78" s="38" t="str">
        <f>IF('Crane Pads'!F33&gt;0,'Crane Pads'!F33,"")</f>
        <v/>
      </c>
      <c r="C78" s="38" t="str">
        <f>IF(Foundations!F33&gt;0,Foundations!F33,"")</f>
        <v/>
      </c>
      <c r="D78" s="38" t="str">
        <f>IF('Substation-civil'!D33&gt;0,'Substation-civil'!D33,"")</f>
        <v/>
      </c>
      <c r="E78" s="38" t="str">
        <f>IF('Road Construction'!F33&gt;0,'Road Construction'!F33,"")</f>
        <v/>
      </c>
      <c r="F78" s="38" t="str">
        <f>IF('Road Upgrade'!F33&gt;0,'Road Upgrade'!F33,"")</f>
        <v/>
      </c>
      <c r="G78" s="38" t="str">
        <f>IF('Cabling to substation'!F33&gt;0,'Cabling to substation'!F33,"")</f>
        <v/>
      </c>
      <c r="H78" s="38" t="str">
        <f>IF('Cabling to grid'!F33&gt;0,'Cabling to grid'!F33,"")</f>
        <v/>
      </c>
      <c r="I78" s="38" t="str">
        <f>IF('Point of connection'!D33&gt;0,'Point of connection'!D33,"")</f>
        <v/>
      </c>
      <c r="J78" s="38" t="str">
        <f>IF(SCADA!D33&gt;0,SCADA!D33,"")</f>
        <v/>
      </c>
      <c r="K78" s="47" t="str">
        <f>IF('Substation-electrical'!D33&gt;0,'Substation-electrical'!D33,"")</f>
        <v/>
      </c>
      <c r="L78" s="38" t="str">
        <f>IF(Transformers!F33&gt;0,Transformers!F33,"")</f>
        <v/>
      </c>
    </row>
    <row r="79" spans="1:12" x14ac:dyDescent="0.3">
      <c r="A79" s="34"/>
      <c r="B79" s="38" t="str">
        <f>IF('Crane Pads'!F34&gt;0,'Crane Pads'!F34,"")</f>
        <v/>
      </c>
      <c r="C79" s="38" t="str">
        <f>IF(Foundations!F34&gt;0,Foundations!F34,"")</f>
        <v/>
      </c>
      <c r="D79" s="38" t="str">
        <f>IF('Substation-civil'!D34&gt;0,'Substation-civil'!D34,"")</f>
        <v/>
      </c>
      <c r="E79" s="38" t="str">
        <f>IF('Road Construction'!F34&gt;0,'Road Construction'!F34,"")</f>
        <v/>
      </c>
      <c r="F79" s="38" t="str">
        <f>IF('Road Upgrade'!F34&gt;0,'Road Upgrade'!F34,"")</f>
        <v/>
      </c>
      <c r="G79" s="38" t="str">
        <f>IF('Cabling to substation'!F34&gt;0,'Cabling to substation'!F34,"")</f>
        <v/>
      </c>
      <c r="H79" s="38" t="str">
        <f>IF('Cabling to grid'!F34&gt;0,'Cabling to grid'!F34,"")</f>
        <v/>
      </c>
      <c r="I79" s="38" t="str">
        <f>IF('Point of connection'!D34&gt;0,'Point of connection'!D34,"")</f>
        <v/>
      </c>
      <c r="J79" s="38" t="str">
        <f>IF(SCADA!D34&gt;0,SCADA!D34,"")</f>
        <v/>
      </c>
      <c r="K79" s="47" t="str">
        <f>IF('Substation-electrical'!D34&gt;0,'Substation-electrical'!D34,"")</f>
        <v/>
      </c>
      <c r="L79" s="38" t="str">
        <f>IF(Transformers!F34&gt;0,Transformers!F34,"")</f>
        <v/>
      </c>
    </row>
    <row r="80" spans="1:12" x14ac:dyDescent="0.3">
      <c r="A80" s="34"/>
      <c r="B80" s="38" t="str">
        <f>IF('Crane Pads'!F35&gt;0,'Crane Pads'!F35,"")</f>
        <v/>
      </c>
      <c r="C80" s="38" t="str">
        <f>IF(Foundations!F35&gt;0,Foundations!F35,"")</f>
        <v/>
      </c>
      <c r="D80" s="38" t="str">
        <f>IF('Substation-civil'!D35&gt;0,'Substation-civil'!D35,"")</f>
        <v/>
      </c>
      <c r="E80" s="38" t="str">
        <f>IF('Road Construction'!F35&gt;0,'Road Construction'!F35,"")</f>
        <v/>
      </c>
      <c r="F80" s="38" t="str">
        <f>IF('Road Upgrade'!F35&gt;0,'Road Upgrade'!F35,"")</f>
        <v/>
      </c>
      <c r="G80" s="38" t="str">
        <f>IF('Cabling to substation'!F35&gt;0,'Cabling to substation'!F35,"")</f>
        <v/>
      </c>
      <c r="H80" s="38" t="str">
        <f>IF('Cabling to grid'!F35&gt;0,'Cabling to grid'!F35,"")</f>
        <v/>
      </c>
      <c r="I80" s="38" t="str">
        <f>IF('Point of connection'!D35&gt;0,'Point of connection'!D35,"")</f>
        <v/>
      </c>
      <c r="J80" s="38" t="str">
        <f>IF(SCADA!D35&gt;0,SCADA!D35,"")</f>
        <v/>
      </c>
      <c r="K80" s="47" t="str">
        <f>IF('Substation-electrical'!D35&gt;0,'Substation-electrical'!D35,"")</f>
        <v/>
      </c>
      <c r="L80" s="38" t="str">
        <f>IF(Transformers!F35&gt;0,Transformers!F35,"")</f>
        <v/>
      </c>
    </row>
    <row r="81" spans="1:12" x14ac:dyDescent="0.3">
      <c r="A81" s="34"/>
      <c r="B81" s="38" t="str">
        <f>IF('Crane Pads'!F36&gt;0,'Crane Pads'!F36,"")</f>
        <v/>
      </c>
      <c r="C81" s="38" t="str">
        <f>IF(Foundations!F36&gt;0,Foundations!F36,"")</f>
        <v/>
      </c>
      <c r="D81" s="38" t="str">
        <f>IF('Substation-civil'!D36&gt;0,'Substation-civil'!D36,"")</f>
        <v/>
      </c>
      <c r="E81" s="38" t="str">
        <f>IF('Road Construction'!F36&gt;0,'Road Construction'!F36,"")</f>
        <v/>
      </c>
      <c r="F81" s="38" t="str">
        <f>IF('Road Upgrade'!F36&gt;0,'Road Upgrade'!F36,"")</f>
        <v/>
      </c>
      <c r="G81" s="38" t="str">
        <f>IF('Cabling to substation'!F36&gt;0,'Cabling to substation'!F36,"")</f>
        <v/>
      </c>
      <c r="H81" s="38" t="str">
        <f>IF('Cabling to grid'!F36&gt;0,'Cabling to grid'!F36,"")</f>
        <v/>
      </c>
      <c r="I81" s="38" t="str">
        <f>IF('Point of connection'!D36&gt;0,'Point of connection'!D36,"")</f>
        <v/>
      </c>
      <c r="J81" s="38" t="str">
        <f>IF(SCADA!D36&gt;0,SCADA!D36,"")</f>
        <v/>
      </c>
      <c r="K81" s="47" t="str">
        <f>IF('Substation-electrical'!D36&gt;0,'Substation-electrical'!D36,"")</f>
        <v/>
      </c>
      <c r="L81" s="38" t="str">
        <f>IF(Transformers!F36&gt;0,Transformers!F36,"")</f>
        <v/>
      </c>
    </row>
    <row r="82" spans="1:12" x14ac:dyDescent="0.3">
      <c r="A82" s="34"/>
      <c r="B82" s="38" t="str">
        <f>IF('Crane Pads'!F37&gt;0,'Crane Pads'!F37,"")</f>
        <v/>
      </c>
      <c r="C82" s="38" t="str">
        <f>IF(Foundations!F37&gt;0,Foundations!F37,"")</f>
        <v/>
      </c>
      <c r="D82" s="38" t="str">
        <f>IF('Substation-civil'!D37&gt;0,'Substation-civil'!D37,"")</f>
        <v/>
      </c>
      <c r="E82" s="38" t="str">
        <f>IF('Road Construction'!F37&gt;0,'Road Construction'!F37,"")</f>
        <v/>
      </c>
      <c r="F82" s="38" t="str">
        <f>IF('Road Upgrade'!F37&gt;0,'Road Upgrade'!F37,"")</f>
        <v/>
      </c>
      <c r="G82" s="38" t="str">
        <f>IF('Cabling to substation'!F37&gt;0,'Cabling to substation'!F37,"")</f>
        <v/>
      </c>
      <c r="H82" s="38" t="str">
        <f>IF('Cabling to grid'!F37&gt;0,'Cabling to grid'!F37,"")</f>
        <v/>
      </c>
      <c r="I82" s="38" t="str">
        <f>IF('Point of connection'!D37&gt;0,'Point of connection'!D37,"")</f>
        <v/>
      </c>
      <c r="J82" s="38" t="str">
        <f>IF(SCADA!D37&gt;0,SCADA!D37,"")</f>
        <v/>
      </c>
      <c r="K82" s="47" t="str">
        <f>IF('Substation-electrical'!D37&gt;0,'Substation-electrical'!D37,"")</f>
        <v/>
      </c>
      <c r="L82" s="38" t="str">
        <f>IF(Transformers!F37&gt;0,Transformers!F37,"")</f>
        <v/>
      </c>
    </row>
    <row r="83" spans="1:12" x14ac:dyDescent="0.3">
      <c r="A83" s="34"/>
      <c r="B83" s="38" t="str">
        <f>IF('Crane Pads'!F38&gt;0,'Crane Pads'!F38,"")</f>
        <v/>
      </c>
      <c r="C83" s="38" t="str">
        <f>IF(Foundations!F38&gt;0,Foundations!F38,"")</f>
        <v/>
      </c>
      <c r="D83" s="38" t="str">
        <f>IF('Substation-civil'!D38&gt;0,'Substation-civil'!D38,"")</f>
        <v/>
      </c>
      <c r="E83" s="38" t="str">
        <f>IF('Road Construction'!F38&gt;0,'Road Construction'!F38,"")</f>
        <v/>
      </c>
      <c r="F83" s="38" t="str">
        <f>IF('Road Upgrade'!F38&gt;0,'Road Upgrade'!F38,"")</f>
        <v/>
      </c>
      <c r="G83" s="38" t="str">
        <f>IF('Cabling to substation'!F38&gt;0,'Cabling to substation'!F38,"")</f>
        <v/>
      </c>
      <c r="H83" s="38" t="str">
        <f>IF('Cabling to grid'!F38&gt;0,'Cabling to grid'!F38,"")</f>
        <v/>
      </c>
      <c r="I83" s="38" t="str">
        <f>IF('Point of connection'!D38&gt;0,'Point of connection'!D38,"")</f>
        <v/>
      </c>
      <c r="J83" s="38" t="str">
        <f>IF(SCADA!D38&gt;0,SCADA!D38,"")</f>
        <v/>
      </c>
      <c r="K83" s="47" t="str">
        <f>IF('Substation-electrical'!D38&gt;0,'Substation-electrical'!D38,"")</f>
        <v/>
      </c>
      <c r="L83" s="38" t="str">
        <f>IF(Transformers!F38&gt;0,Transformers!F38,"")</f>
        <v/>
      </c>
    </row>
    <row r="84" spans="1:12" x14ac:dyDescent="0.3">
      <c r="A84" s="34"/>
      <c r="B84" s="38" t="str">
        <f>IF('Crane Pads'!F39&gt;0,'Crane Pads'!F39,"")</f>
        <v/>
      </c>
      <c r="C84" s="38" t="str">
        <f>IF(Foundations!F39&gt;0,Foundations!F39,"")</f>
        <v/>
      </c>
      <c r="D84" s="38" t="str">
        <f>IF('Substation-civil'!D39&gt;0,'Substation-civil'!D39,"")</f>
        <v/>
      </c>
      <c r="E84" s="38" t="str">
        <f>IF('Road Construction'!F39&gt;0,'Road Construction'!F39,"")</f>
        <v/>
      </c>
      <c r="F84" s="38" t="str">
        <f>IF('Road Upgrade'!F39&gt;0,'Road Upgrade'!F39,"")</f>
        <v/>
      </c>
      <c r="G84" s="38" t="str">
        <f>IF('Cabling to substation'!F39&gt;0,'Cabling to substation'!F39,"")</f>
        <v/>
      </c>
      <c r="H84" s="38" t="str">
        <f>IF('Cabling to grid'!F39&gt;0,'Cabling to grid'!F39,"")</f>
        <v/>
      </c>
      <c r="I84" s="38" t="str">
        <f>IF('Point of connection'!D39&gt;0,'Point of connection'!D39,"")</f>
        <v/>
      </c>
      <c r="J84" s="38" t="str">
        <f>IF(SCADA!D39&gt;0,SCADA!D39,"")</f>
        <v/>
      </c>
      <c r="K84" s="47" t="str">
        <f>IF('Substation-electrical'!D39&gt;0,'Substation-electrical'!D39,"")</f>
        <v/>
      </c>
      <c r="L84" s="38" t="str">
        <f>IF(Transformers!F39&gt;0,Transformers!F39,"")</f>
        <v/>
      </c>
    </row>
    <row r="85" spans="1:12" x14ac:dyDescent="0.3">
      <c r="A85" s="34"/>
      <c r="B85" s="38" t="str">
        <f>IF('Crane Pads'!F40&gt;0,'Crane Pads'!F40,"")</f>
        <v/>
      </c>
      <c r="C85" s="38" t="str">
        <f>IF(Foundations!F40&gt;0,Foundations!F40,"")</f>
        <v/>
      </c>
      <c r="D85" s="38" t="str">
        <f>IF('Substation-civil'!D40&gt;0,'Substation-civil'!D40,"")</f>
        <v/>
      </c>
      <c r="E85" s="38" t="str">
        <f>IF('Road Construction'!F40&gt;0,'Road Construction'!F40,"")</f>
        <v/>
      </c>
      <c r="F85" s="38" t="str">
        <f>IF('Road Upgrade'!F40&gt;0,'Road Upgrade'!F40,"")</f>
        <v/>
      </c>
      <c r="G85" s="38" t="str">
        <f>IF('Cabling to substation'!F40&gt;0,'Cabling to substation'!F40,"")</f>
        <v/>
      </c>
      <c r="H85" s="38" t="str">
        <f>IF('Cabling to grid'!F40&gt;0,'Cabling to grid'!F40,"")</f>
        <v/>
      </c>
      <c r="I85" s="38" t="str">
        <f>IF('Point of connection'!D40&gt;0,'Point of connection'!D40,"")</f>
        <v/>
      </c>
      <c r="J85" s="38" t="str">
        <f>IF(SCADA!D40&gt;0,SCADA!D40,"")</f>
        <v/>
      </c>
      <c r="K85" s="47" t="str">
        <f>IF('Substation-electrical'!D40&gt;0,'Substation-electrical'!D40,"")</f>
        <v/>
      </c>
      <c r="L85" s="38" t="str">
        <f>IF(Transformers!F40&gt;0,Transformers!F40,"")</f>
        <v/>
      </c>
    </row>
    <row r="86" spans="1:12" x14ac:dyDescent="0.3">
      <c r="A86" s="34"/>
      <c r="B86" s="38" t="str">
        <f>IF('Crane Pads'!F41&gt;0,'Crane Pads'!F41,"")</f>
        <v/>
      </c>
      <c r="C86" s="38" t="str">
        <f>IF(Foundations!F41&gt;0,Foundations!F41,"")</f>
        <v/>
      </c>
      <c r="D86" s="38" t="str">
        <f>IF('Substation-civil'!D41&gt;0,'Substation-civil'!D41,"")</f>
        <v/>
      </c>
      <c r="E86" s="38" t="str">
        <f>IF('Road Construction'!F41&gt;0,'Road Construction'!F41,"")</f>
        <v/>
      </c>
      <c r="F86" s="38" t="str">
        <f>IF('Road Upgrade'!F41&gt;0,'Road Upgrade'!F41,"")</f>
        <v/>
      </c>
      <c r="G86" s="38" t="str">
        <f>IF('Cabling to substation'!F41&gt;0,'Cabling to substation'!F41,"")</f>
        <v/>
      </c>
      <c r="H86" s="38" t="str">
        <f>IF('Cabling to grid'!F41&gt;0,'Cabling to grid'!F41,"")</f>
        <v/>
      </c>
      <c r="I86" s="38" t="str">
        <f>IF('Point of connection'!D41&gt;0,'Point of connection'!D41,"")</f>
        <v/>
      </c>
      <c r="J86" s="38" t="str">
        <f>IF(SCADA!D41&gt;0,SCADA!D41,"")</f>
        <v/>
      </c>
      <c r="K86" s="47" t="str">
        <f>IF('Substation-electrical'!D41&gt;0,'Substation-electrical'!D41,"")</f>
        <v/>
      </c>
      <c r="L86" s="38" t="str">
        <f>IF(Transformers!F41&gt;0,Transformers!F41,"")</f>
        <v/>
      </c>
    </row>
    <row r="87" spans="1:12" x14ac:dyDescent="0.3">
      <c r="A87" s="34"/>
      <c r="B87" s="38" t="str">
        <f>IF('Crane Pads'!F42&gt;0,'Crane Pads'!F42,"")</f>
        <v/>
      </c>
      <c r="C87" s="38" t="str">
        <f>IF(Foundations!F42&gt;0,Foundations!F42,"")</f>
        <v/>
      </c>
      <c r="D87" s="38" t="str">
        <f>IF('Substation-civil'!D42&gt;0,'Substation-civil'!D42,"")</f>
        <v/>
      </c>
      <c r="E87" s="38" t="str">
        <f>IF('Road Construction'!F42&gt;0,'Road Construction'!F42,"")</f>
        <v/>
      </c>
      <c r="F87" s="38" t="str">
        <f>IF('Road Upgrade'!F42&gt;0,'Road Upgrade'!F42,"")</f>
        <v/>
      </c>
      <c r="G87" s="38" t="str">
        <f>IF('Cabling to substation'!F42&gt;0,'Cabling to substation'!F42,"")</f>
        <v/>
      </c>
      <c r="H87" s="38" t="str">
        <f>IF('Cabling to grid'!F42&gt;0,'Cabling to grid'!F42,"")</f>
        <v/>
      </c>
      <c r="I87" s="38" t="str">
        <f>IF('Point of connection'!D42&gt;0,'Point of connection'!D42,"")</f>
        <v/>
      </c>
      <c r="J87" s="38" t="str">
        <f>IF(SCADA!D42&gt;0,SCADA!D42,"")</f>
        <v/>
      </c>
      <c r="K87" s="47" t="str">
        <f>IF('Substation-electrical'!D42&gt;0,'Substation-electrical'!D42,"")</f>
        <v/>
      </c>
      <c r="L87" s="38" t="str">
        <f>IF(Transformers!F42&gt;0,Transformers!F42,"")</f>
        <v/>
      </c>
    </row>
    <row r="88" spans="1:12" x14ac:dyDescent="0.3">
      <c r="A88" s="34"/>
      <c r="B88" s="38" t="str">
        <f>IF('Crane Pads'!F43&gt;0,'Crane Pads'!F43,"")</f>
        <v/>
      </c>
      <c r="C88" s="38" t="str">
        <f>IF(Foundations!F43&gt;0,Foundations!F43,"")</f>
        <v/>
      </c>
      <c r="D88" s="38" t="str">
        <f>IF('Substation-civil'!D43&gt;0,'Substation-civil'!D43,"")</f>
        <v/>
      </c>
      <c r="E88" s="38" t="str">
        <f>IF('Road Construction'!F43&gt;0,'Road Construction'!F43,"")</f>
        <v/>
      </c>
      <c r="F88" s="38" t="str">
        <f>IF('Road Upgrade'!F43&gt;0,'Road Upgrade'!F43,"")</f>
        <v/>
      </c>
      <c r="G88" s="38" t="str">
        <f>IF('Cabling to substation'!F43&gt;0,'Cabling to substation'!F43,"")</f>
        <v/>
      </c>
      <c r="H88" s="38" t="str">
        <f>IF('Cabling to grid'!F43&gt;0,'Cabling to grid'!F43,"")</f>
        <v/>
      </c>
      <c r="I88" s="38" t="str">
        <f>IF('Point of connection'!D43&gt;0,'Point of connection'!D43,"")</f>
        <v/>
      </c>
      <c r="J88" s="38" t="str">
        <f>IF(SCADA!D43&gt;0,SCADA!D43,"")</f>
        <v/>
      </c>
      <c r="K88" s="47" t="str">
        <f>IF('Substation-electrical'!D43&gt;0,'Substation-electrical'!D43,"")</f>
        <v/>
      </c>
      <c r="L88" s="38" t="str">
        <f>IF(Transformers!F43&gt;0,Transformers!F43,"")</f>
        <v/>
      </c>
    </row>
    <row r="89" spans="1:12" x14ac:dyDescent="0.3">
      <c r="A89" s="34"/>
      <c r="B89" s="38" t="str">
        <f>IF('Crane Pads'!F44&gt;0,'Crane Pads'!F44,"")</f>
        <v/>
      </c>
      <c r="C89" s="38" t="str">
        <f>IF(Foundations!F44&gt;0,Foundations!F44,"")</f>
        <v/>
      </c>
      <c r="D89" s="38" t="str">
        <f>IF('Substation-civil'!D44&gt;0,'Substation-civil'!D44,"")</f>
        <v/>
      </c>
      <c r="E89" s="38" t="str">
        <f>IF('Road Construction'!F44&gt;0,'Road Construction'!F44,"")</f>
        <v/>
      </c>
      <c r="F89" s="38" t="str">
        <f>IF('Road Upgrade'!F44&gt;0,'Road Upgrade'!F44,"")</f>
        <v/>
      </c>
      <c r="G89" s="38" t="str">
        <f>IF('Cabling to substation'!F44&gt;0,'Cabling to substation'!F44,"")</f>
        <v/>
      </c>
      <c r="H89" s="38" t="str">
        <f>IF('Cabling to grid'!F44&gt;0,'Cabling to grid'!F44,"")</f>
        <v/>
      </c>
      <c r="I89" s="38" t="str">
        <f>IF('Point of connection'!D44&gt;0,'Point of connection'!D44,"")</f>
        <v/>
      </c>
      <c r="J89" s="38" t="str">
        <f>IF(SCADA!D44&gt;0,SCADA!D44,"")</f>
        <v/>
      </c>
      <c r="K89" s="47" t="str">
        <f>IF('Substation-electrical'!D44&gt;0,'Substation-electrical'!D44,"")</f>
        <v/>
      </c>
      <c r="L89" s="38" t="str">
        <f>IF(Transformers!F44&gt;0,Transformers!F44,"")</f>
        <v/>
      </c>
    </row>
    <row r="90" spans="1:12" x14ac:dyDescent="0.3">
      <c r="A90" s="34"/>
      <c r="B90" s="38" t="str">
        <f>IF('Crane Pads'!F45&gt;0,'Crane Pads'!F45,"")</f>
        <v/>
      </c>
      <c r="C90" s="38" t="str">
        <f>IF(Foundations!F45&gt;0,Foundations!F45,"")</f>
        <v/>
      </c>
      <c r="D90" s="38" t="str">
        <f>IF('Substation-civil'!D45&gt;0,'Substation-civil'!D45,"")</f>
        <v/>
      </c>
      <c r="E90" s="38" t="str">
        <f>IF('Road Construction'!F45&gt;0,'Road Construction'!F45,"")</f>
        <v/>
      </c>
      <c r="F90" s="38" t="str">
        <f>IF('Road Upgrade'!F45&gt;0,'Road Upgrade'!F45,"")</f>
        <v/>
      </c>
      <c r="G90" s="38" t="str">
        <f>IF('Cabling to substation'!F45&gt;0,'Cabling to substation'!F45,"")</f>
        <v/>
      </c>
      <c r="H90" s="38" t="str">
        <f>IF('Cabling to grid'!F45&gt;0,'Cabling to grid'!F45,"")</f>
        <v/>
      </c>
      <c r="I90" s="38" t="str">
        <f>IF('Point of connection'!D45&gt;0,'Point of connection'!D45,"")</f>
        <v/>
      </c>
      <c r="J90" s="38" t="str">
        <f>IF(SCADA!D45&gt;0,SCADA!D45,"")</f>
        <v/>
      </c>
      <c r="K90" s="47" t="str">
        <f>IF('Substation-electrical'!D45&gt;0,'Substation-electrical'!D45,"")</f>
        <v/>
      </c>
      <c r="L90" s="38" t="str">
        <f>IF(Transformers!F45&gt;0,Transformers!F45,"")</f>
        <v/>
      </c>
    </row>
    <row r="91" spans="1:12" x14ac:dyDescent="0.3">
      <c r="A91" s="34"/>
      <c r="B91" s="38" t="str">
        <f>IF('Crane Pads'!F46&gt;0,'Crane Pads'!F46,"")</f>
        <v/>
      </c>
      <c r="C91" s="38" t="str">
        <f>IF(Foundations!F46&gt;0,Foundations!F46,"")</f>
        <v/>
      </c>
      <c r="D91" s="38" t="str">
        <f>IF('Substation-civil'!D46&gt;0,'Substation-civil'!D46,"")</f>
        <v/>
      </c>
      <c r="E91" s="38" t="str">
        <f>IF('Road Construction'!F46&gt;0,'Road Construction'!F46,"")</f>
        <v/>
      </c>
      <c r="F91" s="38" t="str">
        <f>IF('Road Upgrade'!F46&gt;0,'Road Upgrade'!F46,"")</f>
        <v/>
      </c>
      <c r="G91" s="38" t="str">
        <f>IF('Cabling to substation'!F46&gt;0,'Cabling to substation'!F46,"")</f>
        <v/>
      </c>
      <c r="H91" s="38" t="str">
        <f>IF('Cabling to grid'!F46&gt;0,'Cabling to grid'!F46,"")</f>
        <v/>
      </c>
      <c r="I91" s="38" t="str">
        <f>IF('Point of connection'!D46&gt;0,'Point of connection'!D46,"")</f>
        <v/>
      </c>
      <c r="J91" s="38" t="str">
        <f>IF(SCADA!D46&gt;0,SCADA!D46,"")</f>
        <v/>
      </c>
      <c r="K91" s="47" t="str">
        <f>IF('Substation-electrical'!D46&gt;0,'Substation-electrical'!D46,"")</f>
        <v/>
      </c>
      <c r="L91" s="38" t="str">
        <f>IF(Transformers!F46&gt;0,Transformers!F46,"")</f>
        <v/>
      </c>
    </row>
    <row r="92" spans="1:12" x14ac:dyDescent="0.3">
      <c r="A92" s="34"/>
      <c r="B92" s="38" t="str">
        <f>IF('Crane Pads'!F47&gt;0,'Crane Pads'!F47,"")</f>
        <v/>
      </c>
      <c r="C92" s="38" t="str">
        <f>IF(Foundations!F47&gt;0,Foundations!F47,"")</f>
        <v/>
      </c>
      <c r="D92" s="38" t="str">
        <f>IF('Substation-civil'!D47&gt;0,'Substation-civil'!D47,"")</f>
        <v/>
      </c>
      <c r="E92" s="38" t="str">
        <f>IF('Road Construction'!F47&gt;0,'Road Construction'!F47,"")</f>
        <v/>
      </c>
      <c r="F92" s="38" t="str">
        <f>IF('Road Upgrade'!F47&gt;0,'Road Upgrade'!F47,"")</f>
        <v/>
      </c>
      <c r="G92" s="38" t="str">
        <f>IF('Cabling to substation'!F47&gt;0,'Cabling to substation'!F47,"")</f>
        <v/>
      </c>
      <c r="H92" s="38" t="str">
        <f>IF('Cabling to grid'!F47&gt;0,'Cabling to grid'!F47,"")</f>
        <v/>
      </c>
      <c r="I92" s="38" t="str">
        <f>IF('Point of connection'!D47&gt;0,'Point of connection'!D47,"")</f>
        <v/>
      </c>
      <c r="J92" s="38" t="str">
        <f>IF(SCADA!D47&gt;0,SCADA!D47,"")</f>
        <v/>
      </c>
      <c r="K92" s="47" t="str">
        <f>IF('Substation-electrical'!D47&gt;0,'Substation-electrical'!D47,"")</f>
        <v/>
      </c>
      <c r="L92" s="38" t="str">
        <f>IF(Transformers!F47&gt;0,Transformers!F47,"")</f>
        <v/>
      </c>
    </row>
    <row r="93" spans="1:12" x14ac:dyDescent="0.3">
      <c r="A93" s="34"/>
      <c r="B93" s="38" t="str">
        <f>IF('Crane Pads'!F48&gt;0,'Crane Pads'!F48,"")</f>
        <v/>
      </c>
      <c r="C93" s="38" t="str">
        <f>IF(Foundations!F48&gt;0,Foundations!F48,"")</f>
        <v/>
      </c>
      <c r="D93" s="38" t="str">
        <f>IF('Substation-civil'!D48&gt;0,'Substation-civil'!D48,"")</f>
        <v/>
      </c>
      <c r="E93" s="38" t="str">
        <f>IF('Road Construction'!F48&gt;0,'Road Construction'!F48,"")</f>
        <v/>
      </c>
      <c r="F93" s="38" t="str">
        <f>IF('Road Upgrade'!F48&gt;0,'Road Upgrade'!F48,"")</f>
        <v/>
      </c>
      <c r="G93" s="38" t="str">
        <f>IF('Cabling to substation'!F48&gt;0,'Cabling to substation'!F48,"")</f>
        <v/>
      </c>
      <c r="H93" s="38" t="str">
        <f>IF('Cabling to grid'!F48&gt;0,'Cabling to grid'!F48,"")</f>
        <v/>
      </c>
      <c r="I93" s="38" t="str">
        <f>IF('Point of connection'!D48&gt;0,'Point of connection'!D48,"")</f>
        <v/>
      </c>
      <c r="J93" s="38" t="str">
        <f>IF(SCADA!D48&gt;0,SCADA!D48,"")</f>
        <v/>
      </c>
      <c r="K93" s="47" t="str">
        <f>IF('Substation-electrical'!D48&gt;0,'Substation-electrical'!D48,"")</f>
        <v/>
      </c>
      <c r="L93" s="38" t="str">
        <f>IF(Transformers!F48&gt;0,Transformers!F48,"")</f>
        <v/>
      </c>
    </row>
    <row r="94" spans="1:12" x14ac:dyDescent="0.3">
      <c r="A94" s="34"/>
      <c r="B94" s="38" t="str">
        <f>IF('Crane Pads'!F49&gt;0,'Crane Pads'!F49,"")</f>
        <v/>
      </c>
      <c r="C94" s="38" t="str">
        <f>IF(Foundations!F49&gt;0,Foundations!F49,"")</f>
        <v/>
      </c>
      <c r="D94" s="38" t="str">
        <f>IF('Substation-civil'!D49&gt;0,'Substation-civil'!D49,"")</f>
        <v/>
      </c>
      <c r="E94" s="38" t="str">
        <f>IF('Road Construction'!F49&gt;0,'Road Construction'!F49,"")</f>
        <v/>
      </c>
      <c r="F94" s="38" t="str">
        <f>IF('Road Upgrade'!F49&gt;0,'Road Upgrade'!F49,"")</f>
        <v/>
      </c>
      <c r="G94" s="38" t="str">
        <f>IF('Cabling to substation'!F49&gt;0,'Cabling to substation'!F49,"")</f>
        <v/>
      </c>
      <c r="H94" s="38" t="str">
        <f>IF('Cabling to grid'!F49&gt;0,'Cabling to grid'!F49,"")</f>
        <v/>
      </c>
      <c r="I94" s="38" t="str">
        <f>IF('Point of connection'!D49&gt;0,'Point of connection'!D49,"")</f>
        <v/>
      </c>
      <c r="J94" s="38" t="str">
        <f>IF(SCADA!D49&gt;0,SCADA!D49,"")</f>
        <v/>
      </c>
      <c r="K94" s="47" t="str">
        <f>IF('Substation-electrical'!D49&gt;0,'Substation-electrical'!D49,"")</f>
        <v/>
      </c>
      <c r="L94" s="38" t="str">
        <f>IF(Transformers!F49&gt;0,Transformers!F49,"")</f>
        <v/>
      </c>
    </row>
    <row r="95" spans="1:12" x14ac:dyDescent="0.3">
      <c r="A95" s="34"/>
      <c r="B95" s="38" t="str">
        <f>IF('Crane Pads'!F50&gt;0,'Crane Pads'!F50,"")</f>
        <v/>
      </c>
      <c r="C95" s="38" t="str">
        <f>IF(Foundations!F50&gt;0,Foundations!F50,"")</f>
        <v/>
      </c>
      <c r="D95" s="38" t="str">
        <f>IF('Substation-civil'!D50&gt;0,'Substation-civil'!D50,"")</f>
        <v/>
      </c>
      <c r="E95" s="38" t="str">
        <f>IF('Road Construction'!F50&gt;0,'Road Construction'!F50,"")</f>
        <v/>
      </c>
      <c r="F95" s="38" t="str">
        <f>IF('Road Upgrade'!F50&gt;0,'Road Upgrade'!F50,"")</f>
        <v/>
      </c>
      <c r="G95" s="38" t="str">
        <f>IF('Cabling to substation'!F50&gt;0,'Cabling to substation'!F50,"")</f>
        <v/>
      </c>
      <c r="H95" s="38" t="str">
        <f>IF('Cabling to grid'!F50&gt;0,'Cabling to grid'!F50,"")</f>
        <v/>
      </c>
      <c r="I95" s="38" t="str">
        <f>IF('Point of connection'!D50&gt;0,'Point of connection'!D50,"")</f>
        <v/>
      </c>
      <c r="J95" s="38" t="str">
        <f>IF(SCADA!D50&gt;0,SCADA!D50,"")</f>
        <v/>
      </c>
      <c r="K95" s="47" t="str">
        <f>IF('Substation-electrical'!D50&gt;0,'Substation-electrical'!D50,"")</f>
        <v/>
      </c>
      <c r="L95" s="38" t="str">
        <f>IF(Transformers!F50&gt;0,Transformers!F50,"")</f>
        <v/>
      </c>
    </row>
    <row r="96" spans="1:12" x14ac:dyDescent="0.3">
      <c r="A96" s="34"/>
      <c r="B96" s="38" t="str">
        <f>IF('Crane Pads'!F51&gt;0,'Crane Pads'!F51,"")</f>
        <v/>
      </c>
      <c r="C96" s="38" t="str">
        <f>IF(Foundations!F51&gt;0,Foundations!F51,"")</f>
        <v/>
      </c>
      <c r="D96" s="38" t="str">
        <f>IF('Substation-civil'!D51&gt;0,'Substation-civil'!D51,"")</f>
        <v/>
      </c>
      <c r="E96" s="38" t="str">
        <f>IF('Road Construction'!F51&gt;0,'Road Construction'!F51,"")</f>
        <v/>
      </c>
      <c r="F96" s="38" t="str">
        <f>IF('Road Upgrade'!F51&gt;0,'Road Upgrade'!F51,"")</f>
        <v/>
      </c>
      <c r="G96" s="38" t="str">
        <f>IF('Cabling to substation'!F51&gt;0,'Cabling to substation'!F51,"")</f>
        <v/>
      </c>
      <c r="H96" s="38" t="str">
        <f>IF('Cabling to grid'!F51&gt;0,'Cabling to grid'!F51,"")</f>
        <v/>
      </c>
      <c r="I96" s="38" t="str">
        <f>IF('Point of connection'!D51&gt;0,'Point of connection'!D51,"")</f>
        <v/>
      </c>
      <c r="J96" s="38" t="str">
        <f>IF(SCADA!D51&gt;0,SCADA!D51,"")</f>
        <v/>
      </c>
      <c r="K96" s="47" t="str">
        <f>IF('Substation-electrical'!D51&gt;0,'Substation-electrical'!D51,"")</f>
        <v/>
      </c>
      <c r="L96" s="38" t="str">
        <f>IF(Transformers!F51&gt;0,Transformers!F51,"")</f>
        <v/>
      </c>
    </row>
    <row r="97" spans="1:12" x14ac:dyDescent="0.3">
      <c r="A97" s="34"/>
      <c r="B97" s="38" t="str">
        <f>IF('Crane Pads'!F52&gt;0,'Crane Pads'!F52,"")</f>
        <v/>
      </c>
      <c r="C97" s="38" t="str">
        <f>IF(Foundations!F52&gt;0,Foundations!F52,"")</f>
        <v/>
      </c>
      <c r="D97" s="38" t="str">
        <f>IF('Substation-civil'!D52&gt;0,'Substation-civil'!D52,"")</f>
        <v/>
      </c>
      <c r="E97" s="38" t="str">
        <f>IF('Road Construction'!F52&gt;0,'Road Construction'!F52,"")</f>
        <v/>
      </c>
      <c r="F97" s="38" t="str">
        <f>IF('Road Upgrade'!F52&gt;0,'Road Upgrade'!F52,"")</f>
        <v/>
      </c>
      <c r="G97" s="38" t="str">
        <f>IF('Cabling to substation'!F52&gt;0,'Cabling to substation'!F52,"")</f>
        <v/>
      </c>
      <c r="H97" s="38" t="str">
        <f>IF('Cabling to grid'!F52&gt;0,'Cabling to grid'!F52,"")</f>
        <v/>
      </c>
      <c r="I97" s="38" t="str">
        <f>IF('Point of connection'!D52&gt;0,'Point of connection'!D52,"")</f>
        <v/>
      </c>
      <c r="J97" s="38" t="str">
        <f>IF(SCADA!D52&gt;0,SCADA!D52,"")</f>
        <v/>
      </c>
      <c r="K97" s="47" t="str">
        <f>IF('Substation-electrical'!D52&gt;0,'Substation-electrical'!D52,"")</f>
        <v/>
      </c>
      <c r="L97" s="38" t="str">
        <f>IF(Transformers!F52&gt;0,Transformers!F52,"")</f>
        <v/>
      </c>
    </row>
    <row r="98" spans="1:12" x14ac:dyDescent="0.3">
      <c r="A98" s="39" t="s">
        <v>106</v>
      </c>
      <c r="B98" s="39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</sheetData>
  <sheetProtection sheet="1" objects="1" scenarios="1"/>
  <mergeCells count="1">
    <mergeCell ref="A1:G2"/>
  </mergeCells>
  <pageMargins left="0.7" right="0.7" top="0.75" bottom="0.75" header="0.3" footer="0.3"/>
  <pageSetup paperSize="9" orientation="portrait" r:id="rId1"/>
  <headerFooter>
    <oddHeader>&amp;C&amp;"Verdana"&amp;10 Classification: Internal Purpose&amp;1#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C10" sqref="C10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6" width="16.6640625" customWidth="1"/>
    <col min="8" max="8" width="22.33203125" customWidth="1"/>
    <col min="9" max="9" width="8.109375" customWidth="1"/>
    <col min="11" max="11" width="11.109375" bestFit="1" customWidth="1"/>
    <col min="12" max="12" width="10.88671875" customWidth="1"/>
  </cols>
  <sheetData>
    <row r="1" spans="1:11" ht="15" thickBot="1" x14ac:dyDescent="0.35"/>
    <row r="2" spans="1:11" ht="42.75" customHeight="1" thickBot="1" x14ac:dyDescent="0.35">
      <c r="A2" s="82" t="s">
        <v>20</v>
      </c>
      <c r="B2" s="83"/>
      <c r="C2" s="83"/>
      <c r="D2" s="83"/>
      <c r="E2" s="84"/>
      <c r="F2" s="85" t="s">
        <v>67</v>
      </c>
      <c r="H2" s="92" t="s">
        <v>22</v>
      </c>
      <c r="I2" s="94">
        <f>SUM(D5:D52)/COUNTIF(D5:D52,"&gt;0")</f>
        <v>21582.076231060608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0"/>
      <c r="F3" s="86"/>
      <c r="H3" s="93"/>
      <c r="I3" s="95"/>
    </row>
    <row r="4" spans="1:11" ht="15" thickBot="1" x14ac:dyDescent="0.35">
      <c r="A4" s="24" t="s">
        <v>23</v>
      </c>
      <c r="B4" s="14" t="s">
        <v>11</v>
      </c>
      <c r="C4" s="25" t="s">
        <v>19</v>
      </c>
      <c r="D4" s="24" t="s">
        <v>21</v>
      </c>
      <c r="E4" s="25" t="s">
        <v>18</v>
      </c>
      <c r="F4" s="87"/>
      <c r="H4" s="92" t="s">
        <v>24</v>
      </c>
      <c r="I4" s="94">
        <f>SUM(E5:E52)/COUNTIF(E5:E52,"&gt;0")</f>
        <v>9291.6554240180321</v>
      </c>
      <c r="J4" s="12"/>
      <c r="K4" s="13"/>
    </row>
    <row r="5" spans="1:11" ht="15" thickBot="1" x14ac:dyDescent="0.35">
      <c r="A5" s="65">
        <v>315000</v>
      </c>
      <c r="B5" s="66">
        <v>9</v>
      </c>
      <c r="C5" s="67">
        <v>2.9</v>
      </c>
      <c r="D5" s="26">
        <f>IF(ISNUMBER(A5/B5),A5/B5,0)</f>
        <v>35000</v>
      </c>
      <c r="E5" s="27">
        <f>IF(ISNUMBER(D5/C5),D5/C5,0)</f>
        <v>12068.96551724138</v>
      </c>
      <c r="F5" s="20">
        <f>IF(A5&gt;0,COST!$I$6*(D5+(COST!$I$7-C5)*$I$4*$I$9),0)</f>
        <v>692566.67566078552</v>
      </c>
      <c r="H5" s="93"/>
      <c r="I5" s="95"/>
      <c r="J5" s="11"/>
    </row>
    <row r="6" spans="1:11" x14ac:dyDescent="0.3">
      <c r="A6" s="65">
        <v>343000</v>
      </c>
      <c r="B6" s="66">
        <v>11</v>
      </c>
      <c r="C6" s="67">
        <v>1.3</v>
      </c>
      <c r="D6" s="26">
        <f t="shared" ref="D6:D52" si="0">IF(ISNUMBER(A6/B6),A6/B6,0)</f>
        <v>31181.81818181818</v>
      </c>
      <c r="E6" s="27">
        <f t="shared" ref="E6:E52" si="1">IF(ISNUMBER(D6/C6),D6/C6,0)</f>
        <v>23986.013986013983</v>
      </c>
      <c r="F6" s="21">
        <f>IF(A6&gt;0,COST!$I$6*(D6+(COST!$I$7-C6)*$I$4*$I$9),0)</f>
        <v>645936.33665400685</v>
      </c>
      <c r="H6" s="88" t="s">
        <v>53</v>
      </c>
      <c r="I6" s="90">
        <f>SUM(C5:C52)/COUNTIF(C5:C52,"&gt;0")</f>
        <v>2.7124999999999999</v>
      </c>
    </row>
    <row r="7" spans="1:11" ht="15" thickBot="1" x14ac:dyDescent="0.35">
      <c r="A7" s="65">
        <v>169245</v>
      </c>
      <c r="B7" s="66">
        <v>8</v>
      </c>
      <c r="C7" s="67">
        <v>3</v>
      </c>
      <c r="D7" s="26">
        <f t="shared" si="0"/>
        <v>21155.625</v>
      </c>
      <c r="E7" s="27">
        <f t="shared" si="1"/>
        <v>7051.875</v>
      </c>
      <c r="F7" s="21">
        <f>IF(A7&gt;0,COST!$I$6*(D7+(COST!$I$7-C7)*$I$4*$I$9),0)</f>
        <v>413820.84457598196</v>
      </c>
      <c r="H7" s="89"/>
      <c r="I7" s="91"/>
      <c r="J7" s="10"/>
    </row>
    <row r="8" spans="1:11" ht="15" thickBot="1" x14ac:dyDescent="0.35">
      <c r="A8" s="65">
        <v>101228</v>
      </c>
      <c r="B8" s="66">
        <v>8</v>
      </c>
      <c r="C8" s="67">
        <v>3</v>
      </c>
      <c r="D8" s="26">
        <f t="shared" si="0"/>
        <v>12653.5</v>
      </c>
      <c r="E8" s="27">
        <f t="shared" si="1"/>
        <v>4217.833333333333</v>
      </c>
      <c r="F8" s="21">
        <f>IF(A8&gt;0,COST!$I$6*(D8+(COST!$I$7-C8)*$I$4*$I$9),0)</f>
        <v>243778.34457598196</v>
      </c>
    </row>
    <row r="9" spans="1:11" ht="15" thickBot="1" x14ac:dyDescent="0.35">
      <c r="A9" s="65">
        <v>37656</v>
      </c>
      <c r="B9" s="66">
        <v>3</v>
      </c>
      <c r="C9" s="67">
        <v>3</v>
      </c>
      <c r="D9" s="26">
        <f t="shared" si="0"/>
        <v>12552</v>
      </c>
      <c r="E9" s="27">
        <f t="shared" si="1"/>
        <v>4184</v>
      </c>
      <c r="F9" s="21">
        <f>IF(A9&gt;0,COST!$I$6*(D9+(COST!$I$7-C9)*$I$4*$I$9),0)</f>
        <v>241748.34457598196</v>
      </c>
      <c r="H9" s="58" t="s">
        <v>55</v>
      </c>
      <c r="I9" s="71">
        <v>0.1</v>
      </c>
    </row>
    <row r="10" spans="1:11" x14ac:dyDescent="0.3">
      <c r="A10" s="65">
        <v>17024</v>
      </c>
      <c r="B10" s="66">
        <v>3</v>
      </c>
      <c r="C10" s="67">
        <v>3</v>
      </c>
      <c r="D10" s="26">
        <f t="shared" si="0"/>
        <v>5674.666666666667</v>
      </c>
      <c r="E10" s="27">
        <f t="shared" si="1"/>
        <v>1891.5555555555557</v>
      </c>
      <c r="F10" s="21">
        <f>IF(A10&gt;0,COST!$I$6*(D10+(COST!$I$7-C10)*$I$4*$I$9),0)</f>
        <v>104201.67790931532</v>
      </c>
      <c r="H10" s="1"/>
      <c r="I10" s="1"/>
      <c r="K10" s="1"/>
    </row>
    <row r="11" spans="1:11" x14ac:dyDescent="0.3">
      <c r="A11" s="65">
        <v>37917</v>
      </c>
      <c r="B11" s="66">
        <v>3</v>
      </c>
      <c r="C11" s="67">
        <v>3</v>
      </c>
      <c r="D11" s="26">
        <f t="shared" si="0"/>
        <v>12639</v>
      </c>
      <c r="E11" s="27">
        <f t="shared" si="1"/>
        <v>4213</v>
      </c>
      <c r="F11" s="21">
        <f>IF(A11&gt;0,COST!$I$6*(D11+(COST!$I$7-C11)*$I$4*$I$9),0)</f>
        <v>243488.34457598196</v>
      </c>
    </row>
    <row r="12" spans="1:11" x14ac:dyDescent="0.3">
      <c r="A12" s="65">
        <v>836000</v>
      </c>
      <c r="B12" s="66">
        <v>20</v>
      </c>
      <c r="C12" s="67">
        <v>2.5</v>
      </c>
      <c r="D12" s="26">
        <f t="shared" si="0"/>
        <v>41800</v>
      </c>
      <c r="E12" s="27">
        <f t="shared" si="1"/>
        <v>16720</v>
      </c>
      <c r="F12" s="21">
        <f>IF(A12&gt;0,COST!$I$6*(D12+(COST!$I$7-C12)*$I$4*$I$9),0)</f>
        <v>836000</v>
      </c>
    </row>
    <row r="13" spans="1:11" x14ac:dyDescent="0.3">
      <c r="A13" s="65"/>
      <c r="B13" s="66"/>
      <c r="C13" s="67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3">
      <c r="A14" s="65"/>
      <c r="B14" s="66"/>
      <c r="C14" s="67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3">
      <c r="A15" s="65"/>
      <c r="B15" s="66"/>
      <c r="C15" s="67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3">
      <c r="A16" s="65"/>
      <c r="B16" s="66"/>
      <c r="C16" s="67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3">
      <c r="A17" s="65"/>
      <c r="B17" s="66"/>
      <c r="C17" s="67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3">
      <c r="A18" s="65"/>
      <c r="B18" s="66"/>
      <c r="C18" s="67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3">
      <c r="A19" s="65"/>
      <c r="B19" s="66"/>
      <c r="C19" s="67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3">
      <c r="A20" s="65"/>
      <c r="B20" s="66"/>
      <c r="C20" s="67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3">
      <c r="A21" s="65"/>
      <c r="B21" s="66"/>
      <c r="C21" s="67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3">
      <c r="A22" s="65"/>
      <c r="B22" s="66"/>
      <c r="C22" s="67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3">
      <c r="A23" s="65"/>
      <c r="B23" s="66"/>
      <c r="C23" s="67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3">
      <c r="A24" s="65"/>
      <c r="B24" s="66"/>
      <c r="C24" s="67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3">
      <c r="A25" s="65"/>
      <c r="B25" s="66"/>
      <c r="C25" s="67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3">
      <c r="A26" s="65"/>
      <c r="B26" s="66"/>
      <c r="C26" s="67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3">
      <c r="A27" s="65"/>
      <c r="B27" s="66"/>
      <c r="C27" s="67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3">
      <c r="A28" s="65"/>
      <c r="B28" s="66"/>
      <c r="C28" s="67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3">
      <c r="A29" s="65"/>
      <c r="B29" s="66"/>
      <c r="C29" s="67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3">
      <c r="A30" s="65"/>
      <c r="B30" s="66"/>
      <c r="C30" s="67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3">
      <c r="A31" s="65"/>
      <c r="B31" s="66"/>
      <c r="C31" s="67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3">
      <c r="A32" s="65"/>
      <c r="B32" s="66"/>
      <c r="C32" s="67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3">
      <c r="A33" s="65"/>
      <c r="B33" s="66"/>
      <c r="C33" s="67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3">
      <c r="A34" s="65"/>
      <c r="B34" s="66"/>
      <c r="C34" s="67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3">
      <c r="A35" s="65"/>
      <c r="B35" s="66"/>
      <c r="C35" s="67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3">
      <c r="A36" s="65"/>
      <c r="B36" s="66"/>
      <c r="C36" s="67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3">
      <c r="A37" s="65"/>
      <c r="B37" s="66"/>
      <c r="C37" s="67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3">
      <c r="A38" s="65"/>
      <c r="B38" s="66"/>
      <c r="C38" s="67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3">
      <c r="A39" s="65"/>
      <c r="B39" s="66"/>
      <c r="C39" s="67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3">
      <c r="A40" s="65"/>
      <c r="B40" s="66"/>
      <c r="C40" s="67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3">
      <c r="A41" s="65"/>
      <c r="B41" s="66"/>
      <c r="C41" s="67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3">
      <c r="A42" s="65"/>
      <c r="B42" s="66"/>
      <c r="C42" s="67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3">
      <c r="A43" s="65"/>
      <c r="B43" s="66"/>
      <c r="C43" s="67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3">
      <c r="A44" s="65"/>
      <c r="B44" s="66"/>
      <c r="C44" s="67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3">
      <c r="A45" s="65"/>
      <c r="B45" s="66"/>
      <c r="C45" s="67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3">
      <c r="A46" s="65"/>
      <c r="B46" s="66"/>
      <c r="C46" s="67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3">
      <c r="A47" s="65"/>
      <c r="B47" s="66"/>
      <c r="C47" s="67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3">
      <c r="A48" s="65"/>
      <c r="B48" s="66"/>
      <c r="C48" s="67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3">
      <c r="A49" s="65"/>
      <c r="B49" s="66"/>
      <c r="C49" s="67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3">
      <c r="A50" s="65"/>
      <c r="B50" s="66"/>
      <c r="C50" s="67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3">
      <c r="A51" s="65"/>
      <c r="B51" s="66"/>
      <c r="C51" s="67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" thickBot="1" x14ac:dyDescent="0.35">
      <c r="A52" s="68"/>
      <c r="B52" s="69"/>
      <c r="C52" s="70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I6:I7"/>
    <mergeCell ref="H4:H5"/>
    <mergeCell ref="I4:I5"/>
    <mergeCell ref="I2:I3"/>
    <mergeCell ref="H2:H3"/>
    <mergeCell ref="A3:C3"/>
    <mergeCell ref="A2:E2"/>
    <mergeCell ref="D3:E3"/>
    <mergeCell ref="F2:F4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D5" sqref="D5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4" width="18.5546875" customWidth="1"/>
    <col min="5" max="6" width="16.6640625" customWidth="1"/>
    <col min="8" max="8" width="27.5546875" customWidth="1"/>
    <col min="9" max="9" width="11" customWidth="1"/>
    <col min="11" max="11" width="12.6640625" bestFit="1" customWidth="1"/>
  </cols>
  <sheetData>
    <row r="1" spans="1:11" ht="15" thickBot="1" x14ac:dyDescent="0.35"/>
    <row r="2" spans="1:11" ht="43.5" customHeight="1" thickBot="1" x14ac:dyDescent="0.35">
      <c r="A2" s="82" t="s">
        <v>25</v>
      </c>
      <c r="B2" s="83"/>
      <c r="C2" s="83"/>
      <c r="D2" s="83"/>
      <c r="E2" s="84"/>
      <c r="F2" s="85" t="s">
        <v>68</v>
      </c>
      <c r="H2" s="92" t="s">
        <v>27</v>
      </c>
      <c r="I2" s="94">
        <f>SUM(D5:D52)/COUNTIF(D5:D52,"&gt;0")</f>
        <v>168430.88296227582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11</v>
      </c>
      <c r="C4" s="25" t="s">
        <v>19</v>
      </c>
      <c r="D4" s="24" t="s">
        <v>26</v>
      </c>
      <c r="E4" s="25" t="s">
        <v>18</v>
      </c>
      <c r="F4" s="87"/>
      <c r="H4" s="92" t="s">
        <v>24</v>
      </c>
      <c r="I4" s="94">
        <f>SUM(E5:E52)/COUNTIF(E5:E52,"&gt;0")</f>
        <v>75301.953727949076</v>
      </c>
      <c r="J4" s="12"/>
      <c r="K4" s="13"/>
    </row>
    <row r="5" spans="1:11" ht="15" thickBot="1" x14ac:dyDescent="0.35">
      <c r="A5" s="48">
        <v>935632</v>
      </c>
      <c r="B5" s="49">
        <v>11</v>
      </c>
      <c r="C5" s="50">
        <v>1.3</v>
      </c>
      <c r="D5" s="26">
        <f>IF(ISNUMBER(A5/B5),A5/B5,0)</f>
        <v>85057.454545454544</v>
      </c>
      <c r="E5" s="27">
        <f>IF(ISNUMBER(D5/C5),D5/C5,0)</f>
        <v>65428.811188811189</v>
      </c>
      <c r="F5" s="20">
        <f>IF(A5&gt;0,COST!$I$6*(D5+(COST!$I$7-C5)*$I$4*$I$9),0)</f>
        <v>2243323.1577503243</v>
      </c>
      <c r="H5" s="93"/>
      <c r="I5" s="95"/>
      <c r="J5" s="11"/>
      <c r="K5" s="23"/>
    </row>
    <row r="6" spans="1:11" x14ac:dyDescent="0.3">
      <c r="A6" s="48">
        <v>1367716</v>
      </c>
      <c r="B6" s="49">
        <v>12</v>
      </c>
      <c r="C6" s="50">
        <v>2</v>
      </c>
      <c r="D6" s="26">
        <f t="shared" ref="D6:D52" si="0">IF(ISNUMBER(A6/B6),A6/B6,0)</f>
        <v>113976.33333333333</v>
      </c>
      <c r="E6" s="27">
        <f t="shared" ref="E6:E52" si="1">IF(ISNUMBER(D6/C6),D6/C6,0)</f>
        <v>56988.166666666664</v>
      </c>
      <c r="F6" s="21">
        <f>IF(A6&gt;0,COST!$I$6*(D6+(COST!$I$7-C6)*$I$4*$I$9),0)</f>
        <v>2505432.5278505138</v>
      </c>
      <c r="H6" s="88" t="s">
        <v>53</v>
      </c>
      <c r="I6" s="90">
        <f>SUM(C5:C52)/COUNTIF(C5:C52,"&gt;0")</f>
        <v>2.3000000000000003</v>
      </c>
    </row>
    <row r="7" spans="1:11" ht="15" thickBot="1" x14ac:dyDescent="0.35">
      <c r="A7" s="55">
        <v>4777500</v>
      </c>
      <c r="B7" s="49">
        <v>21</v>
      </c>
      <c r="C7" s="50">
        <v>2.2999999999999998</v>
      </c>
      <c r="D7" s="26">
        <f t="shared" si="0"/>
        <v>227500</v>
      </c>
      <c r="E7" s="27">
        <f t="shared" si="1"/>
        <v>98913.043478260879</v>
      </c>
      <c r="F7" s="21">
        <f>IF(A7&gt;0,COST!$I$6*(D7+(COST!$I$7-C7)*$I$4*$I$9),0)</f>
        <v>4640362.3444735389</v>
      </c>
      <c r="H7" s="89"/>
      <c r="I7" s="91"/>
      <c r="J7" s="10"/>
    </row>
    <row r="8" spans="1:11" ht="15" thickBot="1" x14ac:dyDescent="0.35">
      <c r="A8" s="48">
        <v>3250200</v>
      </c>
      <c r="B8" s="49">
        <v>14</v>
      </c>
      <c r="C8" s="50">
        <v>2</v>
      </c>
      <c r="D8" s="26">
        <f t="shared" si="0"/>
        <v>232157.14285714287</v>
      </c>
      <c r="E8" s="27">
        <f t="shared" si="1"/>
        <v>116078.57142857143</v>
      </c>
      <c r="F8" s="21">
        <f>IF(A8&gt;0,COST!$I$6*(D8+(COST!$I$7-C8)*$I$4*$I$9),0)</f>
        <v>4869048.7183267046</v>
      </c>
    </row>
    <row r="9" spans="1:11" ht="15" thickBot="1" x14ac:dyDescent="0.35">
      <c r="A9" s="48">
        <v>870740</v>
      </c>
      <c r="B9" s="49">
        <v>8</v>
      </c>
      <c r="C9" s="50">
        <v>3</v>
      </c>
      <c r="D9" s="26">
        <f t="shared" si="0"/>
        <v>108842.5</v>
      </c>
      <c r="E9" s="27">
        <f t="shared" si="1"/>
        <v>36280.833333333336</v>
      </c>
      <c r="F9" s="21">
        <f>IF(A9&gt;0,COST!$I$6*(D9+(COST!$I$7-C9)*$I$4*$I$9),0)</f>
        <v>1950944.1388161527</v>
      </c>
      <c r="H9" s="17" t="s">
        <v>55</v>
      </c>
      <c r="I9" s="54">
        <v>0.3</v>
      </c>
    </row>
    <row r="10" spans="1:11" x14ac:dyDescent="0.3">
      <c r="A10" s="48">
        <v>1340262</v>
      </c>
      <c r="B10" s="49">
        <v>8</v>
      </c>
      <c r="C10" s="50">
        <v>3</v>
      </c>
      <c r="D10" s="26">
        <f t="shared" si="0"/>
        <v>167532.75</v>
      </c>
      <c r="E10" s="27">
        <f t="shared" si="1"/>
        <v>55844.25</v>
      </c>
      <c r="F10" s="21">
        <f>IF(A10&gt;0,COST!$I$6*(D10+(COST!$I$7-C10)*$I$4*$I$9),0)</f>
        <v>3124749.1388161527</v>
      </c>
      <c r="H10" s="1"/>
      <c r="I10" s="1"/>
      <c r="K10" s="1"/>
    </row>
    <row r="11" spans="1:11" x14ac:dyDescent="0.3">
      <c r="A11" s="48">
        <v>4879000</v>
      </c>
      <c r="B11" s="49">
        <v>20</v>
      </c>
      <c r="C11" s="50">
        <v>2.5</v>
      </c>
      <c r="D11" s="26">
        <f t="shared" si="0"/>
        <v>243950</v>
      </c>
      <c r="E11" s="27">
        <f t="shared" si="1"/>
        <v>97580</v>
      </c>
      <c r="F11" s="21">
        <f>IF(A11&gt;0,COST!$I$6*(D11+(COST!$I$7-C11)*$I$4*$I$9),0)</f>
        <v>4879000</v>
      </c>
    </row>
    <row r="12" spans="1:11" x14ac:dyDescent="0.3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IF(A12&gt;0,COST!$I$6*(D12+(COST!$I$7-C12)*$I$4*$I$9),0)</f>
        <v>0</v>
      </c>
    </row>
    <row r="13" spans="1:11" x14ac:dyDescent="0.3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3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3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3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3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3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3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3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3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3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3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3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3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3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3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3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3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3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3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3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3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3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3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3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3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3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3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3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3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3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3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3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3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3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3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3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3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3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3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" thickBot="1" x14ac:dyDescent="0.35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ColWidth="9.109375" defaultRowHeight="14.4" x14ac:dyDescent="0.3"/>
  <cols>
    <col min="1" max="1" width="16.6640625" customWidth="1"/>
    <col min="2" max="2" width="23.88671875" customWidth="1"/>
    <col min="3" max="4" width="16.6640625" customWidth="1"/>
    <col min="6" max="6" width="27.5546875" customWidth="1"/>
    <col min="7" max="7" width="11" customWidth="1"/>
    <col min="9" max="9" width="11.109375" bestFit="1" customWidth="1"/>
  </cols>
  <sheetData>
    <row r="1" spans="1:9" ht="15" thickBot="1" x14ac:dyDescent="0.35"/>
    <row r="2" spans="1:9" ht="26.25" customHeight="1" thickBot="1" x14ac:dyDescent="0.35">
      <c r="A2" s="82" t="s">
        <v>28</v>
      </c>
      <c r="B2" s="83"/>
      <c r="C2" s="84"/>
      <c r="D2" s="85" t="s">
        <v>69</v>
      </c>
      <c r="F2" s="92" t="s">
        <v>29</v>
      </c>
      <c r="G2" s="94">
        <f>SUM(A5:A52)/COUNTIF(A5:A52,"&gt;0")</f>
        <v>328171.71428571426</v>
      </c>
      <c r="I2" s="10"/>
    </row>
    <row r="3" spans="1:9" ht="15.75" customHeight="1" thickBot="1" x14ac:dyDescent="0.35">
      <c r="A3" s="79" t="s">
        <v>62</v>
      </c>
      <c r="B3" s="81"/>
      <c r="C3" s="19" t="s">
        <v>63</v>
      </c>
      <c r="D3" s="86"/>
      <c r="F3" s="93"/>
      <c r="G3" s="95"/>
    </row>
    <row r="4" spans="1:9" ht="15" thickBot="1" x14ac:dyDescent="0.35">
      <c r="A4" s="24" t="s">
        <v>23</v>
      </c>
      <c r="B4" s="25" t="s">
        <v>30</v>
      </c>
      <c r="C4" s="30" t="s">
        <v>18</v>
      </c>
      <c r="D4" s="87"/>
      <c r="F4" s="92" t="s">
        <v>24</v>
      </c>
      <c r="G4" s="94">
        <f>SUM(C5:C52)/COUNTIF(C5:C52,"&gt;0")</f>
        <v>13208.220521541951</v>
      </c>
      <c r="H4" s="12"/>
      <c r="I4" s="13"/>
    </row>
    <row r="5" spans="1:9" ht="15" thickBot="1" x14ac:dyDescent="0.35">
      <c r="A5" s="48">
        <v>317157</v>
      </c>
      <c r="B5" s="50">
        <v>14</v>
      </c>
      <c r="C5" s="31">
        <f>IF(ISNUMBER(A5/B5),A5/B5,0)</f>
        <v>22654.071428571428</v>
      </c>
      <c r="D5" s="20">
        <f>IF(A5&gt;0,A5+(COST!$I$8-B5)*$G$4*$G$9,0)</f>
        <v>792652.93877551029</v>
      </c>
      <c r="F5" s="93"/>
      <c r="G5" s="95"/>
      <c r="H5" s="11"/>
    </row>
    <row r="6" spans="1:9" x14ac:dyDescent="0.3">
      <c r="A6" s="48">
        <v>618000</v>
      </c>
      <c r="B6" s="50">
        <v>48</v>
      </c>
      <c r="C6" s="31">
        <f t="shared" ref="C6:C52" si="0">IF(ISNUMBER(A6/B6),A6/B6,0)</f>
        <v>12875</v>
      </c>
      <c r="D6" s="21">
        <f>IF(A6&gt;0,A6+(COST!$I$8-B6)*$G$4*$G$9,0)</f>
        <v>644416.44104308391</v>
      </c>
      <c r="F6" s="88" t="s">
        <v>54</v>
      </c>
      <c r="G6" s="90">
        <f>SUM(B5:B52)/COUNTIF(B5:B52,"&gt;0")</f>
        <v>25.428571428571427</v>
      </c>
    </row>
    <row r="7" spans="1:9" ht="15" thickBot="1" x14ac:dyDescent="0.35">
      <c r="A7" s="55">
        <v>151830</v>
      </c>
      <c r="B7" s="50">
        <v>24</v>
      </c>
      <c r="C7" s="31">
        <f t="shared" si="0"/>
        <v>6326.25</v>
      </c>
      <c r="D7" s="21">
        <f>IF(A7&gt;0,A7+(COST!$I$8-B7)*$G$4*$G$9,0)</f>
        <v>495243.73356009071</v>
      </c>
      <c r="F7" s="89"/>
      <c r="G7" s="91"/>
      <c r="H7" s="10"/>
    </row>
    <row r="8" spans="1:9" ht="15" thickBot="1" x14ac:dyDescent="0.35">
      <c r="A8" s="48">
        <v>183000</v>
      </c>
      <c r="B8" s="50">
        <v>24</v>
      </c>
      <c r="C8" s="31">
        <f t="shared" si="0"/>
        <v>7625</v>
      </c>
      <c r="D8" s="21">
        <f>IF(A8&gt;0,A8+(COST!$I$8-B8)*$G$4*$G$9,0)</f>
        <v>526413.73356009065</v>
      </c>
    </row>
    <row r="9" spans="1:9" ht="15" thickBot="1" x14ac:dyDescent="0.35">
      <c r="A9" s="48">
        <v>135215</v>
      </c>
      <c r="B9" s="50">
        <v>9</v>
      </c>
      <c r="C9" s="31">
        <f t="shared" si="0"/>
        <v>15023.888888888889</v>
      </c>
      <c r="D9" s="21">
        <f>IF(A9&gt;0,A9+(COST!$I$8-B9)*$G$4*$G$9,0)</f>
        <v>676752.04138322</v>
      </c>
      <c r="F9" s="17" t="s">
        <v>55</v>
      </c>
      <c r="G9" s="54">
        <v>1</v>
      </c>
    </row>
    <row r="10" spans="1:9" x14ac:dyDescent="0.3">
      <c r="A10" s="48">
        <v>111000</v>
      </c>
      <c r="B10" s="50">
        <v>9</v>
      </c>
      <c r="C10" s="31">
        <f t="shared" si="0"/>
        <v>12333.333333333334</v>
      </c>
      <c r="D10" s="21">
        <f>IF(A10&gt;0,A10+(COST!$I$8-B10)*$G$4*$G$9,0)</f>
        <v>652537.04138322</v>
      </c>
      <c r="F10" s="1"/>
      <c r="G10" s="1"/>
      <c r="I10" s="1"/>
    </row>
    <row r="11" spans="1:9" x14ac:dyDescent="0.3">
      <c r="A11" s="48">
        <v>781000</v>
      </c>
      <c r="B11" s="50">
        <v>50</v>
      </c>
      <c r="C11" s="31">
        <f t="shared" si="0"/>
        <v>15620</v>
      </c>
      <c r="D11" s="21">
        <f>IF(A11&gt;0,A11+(COST!$I$8-B11)*$G$4*$G$9,0)</f>
        <v>781000</v>
      </c>
    </row>
    <row r="12" spans="1:9" x14ac:dyDescent="0.3">
      <c r="A12" s="48"/>
      <c r="B12" s="50"/>
      <c r="C12" s="31">
        <f t="shared" si="0"/>
        <v>0</v>
      </c>
      <c r="D12" s="21">
        <f>IF(A12&gt;0,A12+(COST!$I$8-B12)*$G$4*$G$9,0)</f>
        <v>0</v>
      </c>
    </row>
    <row r="13" spans="1:9" x14ac:dyDescent="0.3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3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3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3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3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3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3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3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3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3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3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3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3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3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3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3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3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3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3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3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3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3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3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3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3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3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3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3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3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3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3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3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3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3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3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3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3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3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3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" thickBot="1" x14ac:dyDescent="0.35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D2:D4"/>
    <mergeCell ref="A2:C2"/>
    <mergeCell ref="A3:B3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G9" sqref="G9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4" width="18.5546875" customWidth="1"/>
    <col min="5" max="5" width="16.6640625" customWidth="1"/>
    <col min="6" max="6" width="17.88671875" customWidth="1"/>
    <col min="8" max="8" width="27.5546875" customWidth="1"/>
    <col min="9" max="9" width="11" customWidth="1"/>
    <col min="11" max="11" width="11.109375" bestFit="1" customWidth="1"/>
  </cols>
  <sheetData>
    <row r="1" spans="1:11" ht="15" thickBot="1" x14ac:dyDescent="0.35"/>
    <row r="2" spans="1:11" ht="29.25" customHeight="1" thickBot="1" x14ac:dyDescent="0.35">
      <c r="A2" s="82" t="s">
        <v>31</v>
      </c>
      <c r="B2" s="83"/>
      <c r="C2" s="83"/>
      <c r="D2" s="83"/>
      <c r="E2" s="84"/>
      <c r="F2" s="85" t="s">
        <v>70</v>
      </c>
      <c r="H2" s="92" t="s">
        <v>34</v>
      </c>
      <c r="I2" s="94">
        <f>SUM(D5:D52)/COUNTIF(D5:D52,"&gt;0")</f>
        <v>82681.273063973058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50</v>
      </c>
      <c r="F4" s="87"/>
      <c r="H4" s="92" t="s">
        <v>51</v>
      </c>
      <c r="I4" s="94">
        <f>SUM(E5:E52)/COUNTIF(E5:E52,"&gt;0")</f>
        <v>39136.721449350436</v>
      </c>
      <c r="J4" s="12"/>
      <c r="K4" s="13"/>
    </row>
    <row r="5" spans="1:11" ht="15" thickBot="1" x14ac:dyDescent="0.35">
      <c r="A5" s="48">
        <v>428498</v>
      </c>
      <c r="B5" s="49">
        <v>5.5</v>
      </c>
      <c r="C5" s="50">
        <v>1.3</v>
      </c>
      <c r="D5" s="26">
        <f>IF(ISNUMBER(A5/B5),A5/B5,0)</f>
        <v>77908.727272727279</v>
      </c>
      <c r="E5" s="27">
        <f>IF(ISNUMBER(D5/C5),D5/C5,0)</f>
        <v>59929.790209790212</v>
      </c>
      <c r="F5" s="20">
        <f>IF(A5&gt;0,COST!$I$11*(D5+(COST!$I$7-C5)*$I$4*$I$9),0)</f>
        <v>743446.20461984398</v>
      </c>
      <c r="H5" s="93"/>
      <c r="I5" s="95"/>
      <c r="J5" s="11"/>
    </row>
    <row r="6" spans="1:11" x14ac:dyDescent="0.3">
      <c r="A6" s="48">
        <v>293032</v>
      </c>
      <c r="B6" s="49">
        <v>2.5</v>
      </c>
      <c r="C6" s="50">
        <v>2</v>
      </c>
      <c r="D6" s="26">
        <f t="shared" ref="D6:D52" si="0">IF(ISNUMBER(A6/B6),A6/B6,0)</f>
        <v>117212.8</v>
      </c>
      <c r="E6" s="27">
        <f t="shared" ref="E6:E52" si="1">IF(ISNUMBER(D6/C6),D6/C6,0)</f>
        <v>58606.400000000001</v>
      </c>
      <c r="F6" s="21">
        <f>IF(A6&gt;0,COST!$I$11*(D6+(COST!$I$7-C6)*$I$4*$I$9),0)</f>
        <v>1072526.7246522077</v>
      </c>
      <c r="H6" s="88" t="s">
        <v>53</v>
      </c>
      <c r="I6" s="90">
        <f>SUM(C5:C52)/COUNTIF(C5:C52,"&gt;0")</f>
        <v>2.35</v>
      </c>
    </row>
    <row r="7" spans="1:11" ht="15" thickBot="1" x14ac:dyDescent="0.35">
      <c r="A7" s="55">
        <v>1043750</v>
      </c>
      <c r="B7" s="49">
        <v>10</v>
      </c>
      <c r="C7" s="50">
        <v>2.2999999999999998</v>
      </c>
      <c r="D7" s="26">
        <f t="shared" si="0"/>
        <v>104375</v>
      </c>
      <c r="E7" s="27">
        <f t="shared" si="1"/>
        <v>45380.434782608696</v>
      </c>
      <c r="F7" s="21">
        <f>IF(A7&gt;0,COST!$I$11*(D7+(COST!$I$7-C7)*$I$4*$I$9),0)</f>
        <v>946419.60986088309</v>
      </c>
      <c r="H7" s="89"/>
      <c r="I7" s="91"/>
      <c r="J7" s="10"/>
    </row>
    <row r="8" spans="1:11" ht="15" thickBot="1" x14ac:dyDescent="0.35">
      <c r="A8" s="48">
        <v>220630</v>
      </c>
      <c r="B8" s="49">
        <v>4.5</v>
      </c>
      <c r="C8" s="50">
        <v>3</v>
      </c>
      <c r="D8" s="26">
        <f t="shared" si="0"/>
        <v>49028.888888888891</v>
      </c>
      <c r="E8" s="27">
        <f t="shared" si="1"/>
        <v>16342.962962962964</v>
      </c>
      <c r="F8" s="21">
        <f>IF(A8&gt;0,COST!$I$11*(D8+(COST!$I$7-C8)*$I$4*$I$9),0)</f>
        <v>423648.47534779232</v>
      </c>
    </row>
    <row r="9" spans="1:11" ht="15" thickBot="1" x14ac:dyDescent="0.35">
      <c r="A9" s="48">
        <v>301330</v>
      </c>
      <c r="B9" s="49">
        <v>4.5</v>
      </c>
      <c r="C9" s="50">
        <v>3</v>
      </c>
      <c r="D9" s="26">
        <f t="shared" si="0"/>
        <v>66962.222222222219</v>
      </c>
      <c r="E9" s="27">
        <f t="shared" si="1"/>
        <v>22320.740740740741</v>
      </c>
      <c r="F9" s="21">
        <f>IF(A9&gt;0,COST!$I$11*(D9+(COST!$I$7-C9)*$I$4*$I$9),0)</f>
        <v>585048.47534779226</v>
      </c>
      <c r="H9" s="17" t="s">
        <v>55</v>
      </c>
      <c r="I9" s="54">
        <v>0.1</v>
      </c>
    </row>
    <row r="10" spans="1:11" x14ac:dyDescent="0.3">
      <c r="A10" s="48">
        <v>806000</v>
      </c>
      <c r="B10" s="49">
        <v>10</v>
      </c>
      <c r="C10" s="50">
        <v>2.5</v>
      </c>
      <c r="D10" s="26">
        <f t="shared" si="0"/>
        <v>80600</v>
      </c>
      <c r="E10" s="27">
        <f t="shared" si="1"/>
        <v>32240</v>
      </c>
      <c r="F10" s="21">
        <f>IF(A10&gt;0,COST!$I$11*(D10+(COST!$I$7-C10)*$I$4*$I$9),0)</f>
        <v>725400</v>
      </c>
      <c r="H10" s="1"/>
      <c r="I10" s="1"/>
      <c r="K10" s="1"/>
    </row>
    <row r="11" spans="1:11" x14ac:dyDescent="0.3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IF(A11&gt;0,COST!$I$11*(D11+(COST!$I$7-C11)*$I$4*$I$9),0)</f>
        <v>0</v>
      </c>
    </row>
    <row r="12" spans="1:11" x14ac:dyDescent="0.3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IF(A12&gt;0,COST!$I$11*(D12+(COST!$I$7-C12)*$I$4*$I$9),0)</f>
        <v>0</v>
      </c>
    </row>
    <row r="13" spans="1:11" x14ac:dyDescent="0.3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IF(A13&gt;0,COST!$I$11*(D13+(COST!$I$7-C13)*$I$4*$I$9),0)</f>
        <v>0</v>
      </c>
    </row>
    <row r="14" spans="1:11" x14ac:dyDescent="0.3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IF(A14&gt;0,COST!$I$11*(D14+(COST!$I$7-C14)*$I$4*$I$9),0)</f>
        <v>0</v>
      </c>
    </row>
    <row r="15" spans="1:11" x14ac:dyDescent="0.3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IF(A15&gt;0,COST!$I$11*(D15+(COST!$I$7-C15)*$I$4*$I$9),0)</f>
        <v>0</v>
      </c>
    </row>
    <row r="16" spans="1:11" x14ac:dyDescent="0.3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IF(A16&gt;0,COST!$I$11*(D16+(COST!$I$7-C16)*$I$4*$I$9),0)</f>
        <v>0</v>
      </c>
    </row>
    <row r="17" spans="1:6" x14ac:dyDescent="0.3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IF(A17&gt;0,COST!$I$11*(D17+(COST!$I$7-C17)*$I$4*$I$9),0)</f>
        <v>0</v>
      </c>
    </row>
    <row r="18" spans="1:6" x14ac:dyDescent="0.3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IF(A18&gt;0,COST!$I$11*(D18+(COST!$I$7-C18)*$I$4*$I$9),0)</f>
        <v>0</v>
      </c>
    </row>
    <row r="19" spans="1:6" x14ac:dyDescent="0.3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IF(A19&gt;0,COST!$I$11*(D19+(COST!$I$7-C19)*$I$4*$I$9),0)</f>
        <v>0</v>
      </c>
    </row>
    <row r="20" spans="1:6" x14ac:dyDescent="0.3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IF(A20&gt;0,COST!$I$11*(D20+(COST!$I$7-C20)*$I$4*$I$9),0)</f>
        <v>0</v>
      </c>
    </row>
    <row r="21" spans="1:6" x14ac:dyDescent="0.3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IF(A21&gt;0,COST!$I$11*(D21+(COST!$I$7-C21)*$I$4*$I$9),0)</f>
        <v>0</v>
      </c>
    </row>
    <row r="22" spans="1:6" x14ac:dyDescent="0.3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IF(A22&gt;0,COST!$I$11*(D22+(COST!$I$7-C22)*$I$4*$I$9),0)</f>
        <v>0</v>
      </c>
    </row>
    <row r="23" spans="1:6" x14ac:dyDescent="0.3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IF(A23&gt;0,COST!$I$11*(D23+(COST!$I$7-C23)*$I$4*$I$9),0)</f>
        <v>0</v>
      </c>
    </row>
    <row r="24" spans="1:6" x14ac:dyDescent="0.3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IF(A24&gt;0,COST!$I$11*(D24+(COST!$I$7-C24)*$I$4*$I$9),0)</f>
        <v>0</v>
      </c>
    </row>
    <row r="25" spans="1:6" x14ac:dyDescent="0.3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IF(A25&gt;0,COST!$I$11*(D25+(COST!$I$7-C25)*$I$4*$I$9),0)</f>
        <v>0</v>
      </c>
    </row>
    <row r="26" spans="1:6" x14ac:dyDescent="0.3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IF(A26&gt;0,COST!$I$11*(D26+(COST!$I$7-C26)*$I$4*$I$9),0)</f>
        <v>0</v>
      </c>
    </row>
    <row r="27" spans="1:6" x14ac:dyDescent="0.3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IF(A27&gt;0,COST!$I$11*(D27+(COST!$I$7-C27)*$I$4*$I$9),0)</f>
        <v>0</v>
      </c>
    </row>
    <row r="28" spans="1:6" x14ac:dyDescent="0.3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IF(A28&gt;0,COST!$I$11*(D28+(COST!$I$7-C28)*$I$4*$I$9),0)</f>
        <v>0</v>
      </c>
    </row>
    <row r="29" spans="1:6" x14ac:dyDescent="0.3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IF(A29&gt;0,COST!$I$11*(D29+(COST!$I$7-C29)*$I$4*$I$9),0)</f>
        <v>0</v>
      </c>
    </row>
    <row r="30" spans="1:6" x14ac:dyDescent="0.3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IF(A30&gt;0,COST!$I$11*(D30+(COST!$I$7-C30)*$I$4*$I$9),0)</f>
        <v>0</v>
      </c>
    </row>
    <row r="31" spans="1:6" x14ac:dyDescent="0.3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IF(A31&gt;0,COST!$I$11*(D31+(COST!$I$7-C31)*$I$4*$I$9),0)</f>
        <v>0</v>
      </c>
    </row>
    <row r="32" spans="1:6" x14ac:dyDescent="0.3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IF(A32&gt;0,COST!$I$11*(D32+(COST!$I$7-C32)*$I$4*$I$9),0)</f>
        <v>0</v>
      </c>
    </row>
    <row r="33" spans="1:6" x14ac:dyDescent="0.3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IF(A33&gt;0,COST!$I$11*(D33+(COST!$I$7-C33)*$I$4*$I$9),0)</f>
        <v>0</v>
      </c>
    </row>
    <row r="34" spans="1:6" x14ac:dyDescent="0.3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IF(A34&gt;0,COST!$I$11*(D34+(COST!$I$7-C34)*$I$4*$I$9),0)</f>
        <v>0</v>
      </c>
    </row>
    <row r="35" spans="1:6" x14ac:dyDescent="0.3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IF(A35&gt;0,COST!$I$11*(D35+(COST!$I$7-C35)*$I$4*$I$9),0)</f>
        <v>0</v>
      </c>
    </row>
    <row r="36" spans="1:6" x14ac:dyDescent="0.3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IF(A36&gt;0,COST!$I$11*(D36+(COST!$I$7-C36)*$I$4*$I$9),0)</f>
        <v>0</v>
      </c>
    </row>
    <row r="37" spans="1:6" x14ac:dyDescent="0.3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IF(A37&gt;0,COST!$I$11*(D37+(COST!$I$7-C37)*$I$4*$I$9),0)</f>
        <v>0</v>
      </c>
    </row>
    <row r="38" spans="1:6" x14ac:dyDescent="0.3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IF(A38&gt;0,COST!$I$11*(D38+(COST!$I$7-C38)*$I$4*$I$9),0)</f>
        <v>0</v>
      </c>
    </row>
    <row r="39" spans="1:6" x14ac:dyDescent="0.3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IF(A39&gt;0,COST!$I$11*(D39+(COST!$I$7-C39)*$I$4*$I$9),0)</f>
        <v>0</v>
      </c>
    </row>
    <row r="40" spans="1:6" x14ac:dyDescent="0.3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IF(A40&gt;0,COST!$I$11*(D40+(COST!$I$7-C40)*$I$4*$I$9),0)</f>
        <v>0</v>
      </c>
    </row>
    <row r="41" spans="1:6" x14ac:dyDescent="0.3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IF(A41&gt;0,COST!$I$11*(D41+(COST!$I$7-C41)*$I$4*$I$9),0)</f>
        <v>0</v>
      </c>
    </row>
    <row r="42" spans="1:6" x14ac:dyDescent="0.3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IF(A42&gt;0,COST!$I$11*(D42+(COST!$I$7-C42)*$I$4*$I$9),0)</f>
        <v>0</v>
      </c>
    </row>
    <row r="43" spans="1:6" x14ac:dyDescent="0.3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IF(A43&gt;0,COST!$I$11*(D43+(COST!$I$7-C43)*$I$4*$I$9),0)</f>
        <v>0</v>
      </c>
    </row>
    <row r="44" spans="1:6" x14ac:dyDescent="0.3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IF(A44&gt;0,COST!$I$11*(D44+(COST!$I$7-C44)*$I$4*$I$9),0)</f>
        <v>0</v>
      </c>
    </row>
    <row r="45" spans="1:6" x14ac:dyDescent="0.3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IF(A45&gt;0,COST!$I$11*(D45+(COST!$I$7-C45)*$I$4*$I$9),0)</f>
        <v>0</v>
      </c>
    </row>
    <row r="46" spans="1:6" x14ac:dyDescent="0.3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IF(A46&gt;0,COST!$I$11*(D46+(COST!$I$7-C46)*$I$4*$I$9),0)</f>
        <v>0</v>
      </c>
    </row>
    <row r="47" spans="1:6" x14ac:dyDescent="0.3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IF(A47&gt;0,COST!$I$11*(D47+(COST!$I$7-C47)*$I$4*$I$9),0)</f>
        <v>0</v>
      </c>
    </row>
    <row r="48" spans="1:6" x14ac:dyDescent="0.3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IF(A48&gt;0,COST!$I$11*(D48+(COST!$I$7-C48)*$I$4*$I$9),0)</f>
        <v>0</v>
      </c>
    </row>
    <row r="49" spans="1:6" x14ac:dyDescent="0.3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IF(A49&gt;0,COST!$I$11*(D49+(COST!$I$7-C49)*$I$4*$I$9),0)</f>
        <v>0</v>
      </c>
    </row>
    <row r="50" spans="1:6" x14ac:dyDescent="0.3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IF(A50&gt;0,COST!$I$11*(D50+(COST!$I$7-C50)*$I$4*$I$9),0)</f>
        <v>0</v>
      </c>
    </row>
    <row r="51" spans="1:6" x14ac:dyDescent="0.3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IF(A51&gt;0,COST!$I$11*(D51+(COST!$I$7-C51)*$I$4*$I$9),0)</f>
        <v>0</v>
      </c>
    </row>
    <row r="52" spans="1:6" ht="15" thickBot="1" x14ac:dyDescent="0.35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IF(A52&gt;0,COST!$I$11*(D52+(COST!$I$7-C52)*$I$4*$I$9),0)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opLeftCell="A3" workbookViewId="0">
      <selection activeCell="D11" sqref="D11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4" width="18.5546875" customWidth="1"/>
    <col min="5" max="5" width="16.6640625" customWidth="1"/>
    <col min="6" max="6" width="17.88671875" customWidth="1"/>
    <col min="8" max="8" width="27.5546875" customWidth="1"/>
    <col min="9" max="9" width="11" customWidth="1"/>
    <col min="11" max="11" width="11.109375" bestFit="1" customWidth="1"/>
  </cols>
  <sheetData>
    <row r="1" spans="1:11" ht="15" thickBot="1" x14ac:dyDescent="0.35"/>
    <row r="2" spans="1:11" ht="28.5" customHeight="1" thickBot="1" x14ac:dyDescent="0.35">
      <c r="A2" s="82" t="s">
        <v>36</v>
      </c>
      <c r="B2" s="83"/>
      <c r="C2" s="83"/>
      <c r="D2" s="83"/>
      <c r="E2" s="84"/>
      <c r="F2" s="85" t="s">
        <v>71</v>
      </c>
      <c r="H2" s="92" t="s">
        <v>34</v>
      </c>
      <c r="I2" s="94">
        <f>SUM(D5:D52)/COUNTIF(D5:D52,"&gt;0")</f>
        <v>64944.136420413888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52</v>
      </c>
      <c r="F4" s="87"/>
      <c r="H4" s="92" t="s">
        <v>51</v>
      </c>
      <c r="I4" s="94">
        <f>SUM(E5:E52)/COUNTIF(E5:E52,"&gt;0")</f>
        <v>31376.071607897884</v>
      </c>
      <c r="J4" s="12"/>
      <c r="K4" s="13"/>
    </row>
    <row r="5" spans="1:11" ht="15" thickBot="1" x14ac:dyDescent="0.35">
      <c r="A5" s="48">
        <v>268267</v>
      </c>
      <c r="B5" s="49">
        <v>4.5999999999999996</v>
      </c>
      <c r="C5" s="50">
        <v>1.3</v>
      </c>
      <c r="D5" s="26">
        <f>IF(ISNUMBER(A5/B5),A5/B5,0)</f>
        <v>58318.913043478264</v>
      </c>
      <c r="E5" s="27">
        <f>IF(ISNUMBER(D5/C5),D5/C5,0)</f>
        <v>44860.702341137126</v>
      </c>
      <c r="F5" s="20">
        <f>IF(A5&gt;0,COST!$I$12*(D5+(COST!$I$7-C5)*$I$4*$I$9),0)</f>
        <v>310420.20818213007</v>
      </c>
      <c r="H5" s="93"/>
      <c r="I5" s="95"/>
      <c r="J5" s="11"/>
    </row>
    <row r="6" spans="1:11" x14ac:dyDescent="0.3">
      <c r="A6" s="48">
        <v>97694</v>
      </c>
      <c r="B6" s="49">
        <v>5</v>
      </c>
      <c r="C6" s="50">
        <v>2</v>
      </c>
      <c r="D6" s="26">
        <f t="shared" ref="D6:D52" si="0">IF(ISNUMBER(A6/B6),A6/B6,0)</f>
        <v>19538.8</v>
      </c>
      <c r="E6" s="27">
        <f t="shared" ref="E6:E52" si="1">IF(ISNUMBER(D6/C6),D6/C6,0)</f>
        <v>9769.4</v>
      </c>
      <c r="F6" s="21">
        <f>IF(A6&gt;0,COST!$I$12*(D6+(COST!$I$7-C6)*$I$4*$I$9),0)</f>
        <v>105538.01790197447</v>
      </c>
      <c r="H6" s="88" t="s">
        <v>53</v>
      </c>
      <c r="I6" s="90">
        <f>SUM(C5:C52)/COUNTIF(C5:C52,"&gt;0")</f>
        <v>2.3199999999999998</v>
      </c>
    </row>
    <row r="7" spans="1:11" ht="15" thickBot="1" x14ac:dyDescent="0.35">
      <c r="A7" s="55">
        <v>610000</v>
      </c>
      <c r="B7" s="49">
        <v>3.1</v>
      </c>
      <c r="C7" s="50">
        <v>2.2999999999999998</v>
      </c>
      <c r="D7" s="26">
        <f t="shared" si="0"/>
        <v>196774.19354838709</v>
      </c>
      <c r="E7" s="27">
        <f t="shared" si="1"/>
        <v>85553.99719495092</v>
      </c>
      <c r="F7" s="21">
        <f>IF(A7&gt;0,COST!$I$12*(D7+(COST!$I$7-C7)*$I$4*$I$9),0)</f>
        <v>987008.57490272517</v>
      </c>
      <c r="H7" s="89"/>
      <c r="I7" s="91"/>
      <c r="J7" s="10"/>
    </row>
    <row r="8" spans="1:11" ht="15" thickBot="1" x14ac:dyDescent="0.35">
      <c r="A8" s="48">
        <v>40615</v>
      </c>
      <c r="B8" s="49">
        <v>4.9000000000000004</v>
      </c>
      <c r="C8" s="50">
        <v>3</v>
      </c>
      <c r="D8" s="26">
        <f t="shared" si="0"/>
        <v>8288.775510204081</v>
      </c>
      <c r="E8" s="27">
        <f t="shared" si="1"/>
        <v>2762.925170068027</v>
      </c>
      <c r="F8" s="21">
        <f>IF(A8&gt;0,COST!$I$12*(D8+(COST!$I$7-C8)*$I$4*$I$9),0)</f>
        <v>33599.859649045931</v>
      </c>
    </row>
    <row r="9" spans="1:11" ht="15" thickBot="1" x14ac:dyDescent="0.35">
      <c r="A9" s="48">
        <v>204820</v>
      </c>
      <c r="B9" s="49">
        <v>4.9000000000000004</v>
      </c>
      <c r="C9" s="50">
        <v>3</v>
      </c>
      <c r="D9" s="26">
        <f t="shared" si="0"/>
        <v>41800</v>
      </c>
      <c r="E9" s="27">
        <f t="shared" si="1"/>
        <v>13933.333333333334</v>
      </c>
      <c r="F9" s="21">
        <f>IF(A9&gt;0,COST!$I$12*(D9+(COST!$I$7-C9)*$I$4*$I$9),0)</f>
        <v>201155.98209802553</v>
      </c>
      <c r="H9" s="17" t="s">
        <v>55</v>
      </c>
      <c r="I9" s="54">
        <v>0.1</v>
      </c>
    </row>
    <row r="10" spans="1:11" x14ac:dyDescent="0.3">
      <c r="A10" s="48"/>
      <c r="B10" s="49"/>
      <c r="C10" s="50"/>
      <c r="D10" s="26">
        <f t="shared" si="0"/>
        <v>0</v>
      </c>
      <c r="E10" s="27">
        <f t="shared" si="1"/>
        <v>0</v>
      </c>
      <c r="F10" s="21">
        <f>IF(A10&gt;0,COST!$I$12*(D10+(COST!$I$7-C10)*$I$4*$I$9),0)</f>
        <v>0</v>
      </c>
      <c r="H10" s="1"/>
      <c r="I10" s="1"/>
      <c r="K10" s="1"/>
    </row>
    <row r="11" spans="1:11" x14ac:dyDescent="0.3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IF(A11&gt;0,COST!$I$12*(D11+(COST!$I$7-C11)*$I$4*$I$9),0)</f>
        <v>0</v>
      </c>
    </row>
    <row r="12" spans="1:11" x14ac:dyDescent="0.3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IF(A12&gt;0,COST!$I$12*(D12+(COST!$I$7-C12)*$I$4*$I$9),0)</f>
        <v>0</v>
      </c>
    </row>
    <row r="13" spans="1:11" x14ac:dyDescent="0.3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IF(A13&gt;0,COST!$I$12*(D13+(COST!$I$7-C13)*$I$4*$I$9),0)</f>
        <v>0</v>
      </c>
    </row>
    <row r="14" spans="1:11" x14ac:dyDescent="0.3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IF(A14&gt;0,COST!$I$12*(D14+(COST!$I$7-C14)*$I$4*$I$9),0)</f>
        <v>0</v>
      </c>
    </row>
    <row r="15" spans="1:11" x14ac:dyDescent="0.3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IF(A15&gt;0,COST!$I$12*(D15+(COST!$I$7-C15)*$I$4*$I$9),0)</f>
        <v>0</v>
      </c>
    </row>
    <row r="16" spans="1:11" x14ac:dyDescent="0.3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IF(A16&gt;0,COST!$I$12*(D16+(COST!$I$7-C16)*$I$4*$I$9),0)</f>
        <v>0</v>
      </c>
    </row>
    <row r="17" spans="1:6" x14ac:dyDescent="0.3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IF(A17&gt;0,COST!$I$12*(D17+(COST!$I$7-C17)*$I$4*$I$9),0)</f>
        <v>0</v>
      </c>
    </row>
    <row r="18" spans="1:6" x14ac:dyDescent="0.3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IF(A18&gt;0,COST!$I$12*(D18+(COST!$I$7-C18)*$I$4*$I$9),0)</f>
        <v>0</v>
      </c>
    </row>
    <row r="19" spans="1:6" x14ac:dyDescent="0.3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IF(A19&gt;0,COST!$I$12*(D19+(COST!$I$7-C19)*$I$4*$I$9),0)</f>
        <v>0</v>
      </c>
    </row>
    <row r="20" spans="1:6" x14ac:dyDescent="0.3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IF(A20&gt;0,COST!$I$12*(D20+(COST!$I$7-C20)*$I$4*$I$9),0)</f>
        <v>0</v>
      </c>
    </row>
    <row r="21" spans="1:6" x14ac:dyDescent="0.3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IF(A21&gt;0,COST!$I$12*(D21+(COST!$I$7-C21)*$I$4*$I$9),0)</f>
        <v>0</v>
      </c>
    </row>
    <row r="22" spans="1:6" x14ac:dyDescent="0.3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IF(A22&gt;0,COST!$I$12*(D22+(COST!$I$7-C22)*$I$4*$I$9),0)</f>
        <v>0</v>
      </c>
    </row>
    <row r="23" spans="1:6" x14ac:dyDescent="0.3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IF(A23&gt;0,COST!$I$12*(D23+(COST!$I$7-C23)*$I$4*$I$9),0)</f>
        <v>0</v>
      </c>
    </row>
    <row r="24" spans="1:6" x14ac:dyDescent="0.3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IF(A24&gt;0,COST!$I$12*(D24+(COST!$I$7-C24)*$I$4*$I$9),0)</f>
        <v>0</v>
      </c>
    </row>
    <row r="25" spans="1:6" x14ac:dyDescent="0.3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IF(A25&gt;0,COST!$I$12*(D25+(COST!$I$7-C25)*$I$4*$I$9),0)</f>
        <v>0</v>
      </c>
    </row>
    <row r="26" spans="1:6" x14ac:dyDescent="0.3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IF(A26&gt;0,COST!$I$12*(D26+(COST!$I$7-C26)*$I$4*$I$9),0)</f>
        <v>0</v>
      </c>
    </row>
    <row r="27" spans="1:6" x14ac:dyDescent="0.3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IF(A27&gt;0,COST!$I$12*(D27+(COST!$I$7-C27)*$I$4*$I$9),0)</f>
        <v>0</v>
      </c>
    </row>
    <row r="28" spans="1:6" x14ac:dyDescent="0.3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IF(A28&gt;0,COST!$I$12*(D28+(COST!$I$7-C28)*$I$4*$I$9),0)</f>
        <v>0</v>
      </c>
    </row>
    <row r="29" spans="1:6" x14ac:dyDescent="0.3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IF(A29&gt;0,COST!$I$12*(D29+(COST!$I$7-C29)*$I$4*$I$9),0)</f>
        <v>0</v>
      </c>
    </row>
    <row r="30" spans="1:6" x14ac:dyDescent="0.3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IF(A30&gt;0,COST!$I$12*(D30+(COST!$I$7-C30)*$I$4*$I$9),0)</f>
        <v>0</v>
      </c>
    </row>
    <row r="31" spans="1:6" x14ac:dyDescent="0.3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IF(A31&gt;0,COST!$I$12*(D31+(COST!$I$7-C31)*$I$4*$I$9),0)</f>
        <v>0</v>
      </c>
    </row>
    <row r="32" spans="1:6" x14ac:dyDescent="0.3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IF(A32&gt;0,COST!$I$12*(D32+(COST!$I$7-C32)*$I$4*$I$9),0)</f>
        <v>0</v>
      </c>
    </row>
    <row r="33" spans="1:6" x14ac:dyDescent="0.3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IF(A33&gt;0,COST!$I$12*(D33+(COST!$I$7-C33)*$I$4*$I$9),0)</f>
        <v>0</v>
      </c>
    </row>
    <row r="34" spans="1:6" x14ac:dyDescent="0.3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IF(A34&gt;0,COST!$I$12*(D34+(COST!$I$7-C34)*$I$4*$I$9),0)</f>
        <v>0</v>
      </c>
    </row>
    <row r="35" spans="1:6" x14ac:dyDescent="0.3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IF(A35&gt;0,COST!$I$12*(D35+(COST!$I$7-C35)*$I$4*$I$9),0)</f>
        <v>0</v>
      </c>
    </row>
    <row r="36" spans="1:6" x14ac:dyDescent="0.3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IF(A36&gt;0,COST!$I$12*(D36+(COST!$I$7-C36)*$I$4*$I$9),0)</f>
        <v>0</v>
      </c>
    </row>
    <row r="37" spans="1:6" x14ac:dyDescent="0.3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IF(A37&gt;0,COST!$I$12*(D37+(COST!$I$7-C37)*$I$4*$I$9),0)</f>
        <v>0</v>
      </c>
    </row>
    <row r="38" spans="1:6" x14ac:dyDescent="0.3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IF(A38&gt;0,COST!$I$12*(D38+(COST!$I$7-C38)*$I$4*$I$9),0)</f>
        <v>0</v>
      </c>
    </row>
    <row r="39" spans="1:6" x14ac:dyDescent="0.3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IF(A39&gt;0,COST!$I$12*(D39+(COST!$I$7-C39)*$I$4*$I$9),0)</f>
        <v>0</v>
      </c>
    </row>
    <row r="40" spans="1:6" x14ac:dyDescent="0.3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IF(A40&gt;0,COST!$I$12*(D40+(COST!$I$7-C40)*$I$4*$I$9),0)</f>
        <v>0</v>
      </c>
    </row>
    <row r="41" spans="1:6" x14ac:dyDescent="0.3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IF(A41&gt;0,COST!$I$12*(D41+(COST!$I$7-C41)*$I$4*$I$9),0)</f>
        <v>0</v>
      </c>
    </row>
    <row r="42" spans="1:6" x14ac:dyDescent="0.3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IF(A42&gt;0,COST!$I$12*(D42+(COST!$I$7-C42)*$I$4*$I$9),0)</f>
        <v>0</v>
      </c>
    </row>
    <row r="43" spans="1:6" x14ac:dyDescent="0.3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IF(A43&gt;0,COST!$I$12*(D43+(COST!$I$7-C43)*$I$4*$I$9),0)</f>
        <v>0</v>
      </c>
    </row>
    <row r="44" spans="1:6" x14ac:dyDescent="0.3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IF(A44&gt;0,COST!$I$12*(D44+(COST!$I$7-C44)*$I$4*$I$9),0)</f>
        <v>0</v>
      </c>
    </row>
    <row r="45" spans="1:6" x14ac:dyDescent="0.3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IF(A45&gt;0,COST!$I$12*(D45+(COST!$I$7-C45)*$I$4*$I$9),0)</f>
        <v>0</v>
      </c>
    </row>
    <row r="46" spans="1:6" x14ac:dyDescent="0.3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IF(A46&gt;0,COST!$I$12*(D46+(COST!$I$7-C46)*$I$4*$I$9),0)</f>
        <v>0</v>
      </c>
    </row>
    <row r="47" spans="1:6" x14ac:dyDescent="0.3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IF(A47&gt;0,COST!$I$12*(D47+(COST!$I$7-C47)*$I$4*$I$9),0)</f>
        <v>0</v>
      </c>
    </row>
    <row r="48" spans="1:6" x14ac:dyDescent="0.3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IF(A48&gt;0,COST!$I$12*(D48+(COST!$I$7-C48)*$I$4*$I$9),0)</f>
        <v>0</v>
      </c>
    </row>
    <row r="49" spans="1:6" x14ac:dyDescent="0.3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IF(A49&gt;0,COST!$I$12*(D49+(COST!$I$7-C49)*$I$4*$I$9),0)</f>
        <v>0</v>
      </c>
    </row>
    <row r="50" spans="1:6" x14ac:dyDescent="0.3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IF(A50&gt;0,COST!$I$12*(D50+(COST!$I$7-C50)*$I$4*$I$9),0)</f>
        <v>0</v>
      </c>
    </row>
    <row r="51" spans="1:6" x14ac:dyDescent="0.3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IF(A51&gt;0,COST!$I$12*(D51+(COST!$I$7-C51)*$I$4*$I$9),0)</f>
        <v>0</v>
      </c>
    </row>
    <row r="52" spans="1:6" ht="15" thickBot="1" x14ac:dyDescent="0.35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IF(A52&gt;0,COST!$I$12*(D52+(COST!$I$7-C52)*$I$4*$I$9),0)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F16" sqref="F16"/>
    </sheetView>
  </sheetViews>
  <sheetFormatPr defaultColWidth="9.109375" defaultRowHeight="14.4" x14ac:dyDescent="0.3"/>
  <cols>
    <col min="1" max="2" width="16.6640625" customWidth="1"/>
    <col min="3" max="3" width="20.5546875" customWidth="1"/>
    <col min="4" max="4" width="18.5546875" customWidth="1"/>
    <col min="5" max="6" width="16.6640625" customWidth="1"/>
    <col min="8" max="8" width="27.5546875" customWidth="1"/>
    <col min="9" max="9" width="11" customWidth="1"/>
    <col min="11" max="11" width="11.109375" bestFit="1" customWidth="1"/>
  </cols>
  <sheetData>
    <row r="1" spans="1:11" ht="15" thickBot="1" x14ac:dyDescent="0.35"/>
    <row r="2" spans="1:11" ht="28.5" customHeight="1" thickBot="1" x14ac:dyDescent="0.35">
      <c r="A2" s="82" t="s">
        <v>37</v>
      </c>
      <c r="B2" s="83"/>
      <c r="C2" s="83"/>
      <c r="D2" s="83"/>
      <c r="E2" s="84"/>
      <c r="F2" s="85" t="s">
        <v>72</v>
      </c>
      <c r="H2" s="92" t="s">
        <v>34</v>
      </c>
      <c r="I2" s="94">
        <f>SUM(D5:D52)/COUNTIF(D5:D52,"&gt;0")</f>
        <v>141701.66839916838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52</v>
      </c>
      <c r="F4" s="87"/>
      <c r="H4" s="92" t="s">
        <v>51</v>
      </c>
      <c r="I4" s="94">
        <f>SUM(E5:E52)/COUNTIF(E5:E52,"&gt;0")</f>
        <v>58763.411834911829</v>
      </c>
      <c r="J4" s="12"/>
      <c r="K4" s="13"/>
    </row>
    <row r="5" spans="1:11" ht="15" thickBot="1" x14ac:dyDescent="0.35">
      <c r="A5" s="48">
        <v>535354</v>
      </c>
      <c r="B5" s="49">
        <v>3.7</v>
      </c>
      <c r="C5" s="50">
        <v>2</v>
      </c>
      <c r="D5" s="26">
        <f t="shared" ref="D5:D12" si="0">IF(ISNUMBER(A5/B5),A5/B5,0)</f>
        <v>144690.27027027027</v>
      </c>
      <c r="E5" s="18">
        <f t="shared" ref="E5:E12" si="1">IF(ISNUMBER(D5/C5),D5/C5,0)</f>
        <v>72345.135135135133</v>
      </c>
      <c r="F5" s="20">
        <f>IF(A5&gt;0,COST!$I$15*(D5+(COST!$I$7-C5)*$I$4*$I$9),0)</f>
        <v>1566647.7856895358</v>
      </c>
      <c r="H5" s="93"/>
      <c r="I5" s="95"/>
      <c r="J5" s="11"/>
    </row>
    <row r="6" spans="1:11" x14ac:dyDescent="0.3">
      <c r="A6" s="48">
        <v>768000</v>
      </c>
      <c r="B6" s="49">
        <v>1.5</v>
      </c>
      <c r="C6" s="50">
        <v>3</v>
      </c>
      <c r="D6" s="26">
        <f t="shared" si="0"/>
        <v>512000</v>
      </c>
      <c r="E6" s="18">
        <f t="shared" si="1"/>
        <v>170666.66666666666</v>
      </c>
      <c r="F6" s="21">
        <f>IF(A6&gt;0,COST!$I$15*(D6+(COST!$I$7-C6)*$I$4*$I$9),0)</f>
        <v>4343564.6467428971</v>
      </c>
      <c r="H6" s="88" t="s">
        <v>53</v>
      </c>
      <c r="I6" s="90">
        <f>SUM(C5:C52)/COUNTIF(C5:C52,"&gt;0")</f>
        <v>2.35</v>
      </c>
    </row>
    <row r="7" spans="1:11" ht="15" thickBot="1" x14ac:dyDescent="0.35">
      <c r="A7" s="55">
        <v>255500</v>
      </c>
      <c r="B7" s="49">
        <v>4.5</v>
      </c>
      <c r="C7" s="50">
        <v>1.3</v>
      </c>
      <c r="D7" s="26">
        <f t="shared" si="0"/>
        <v>56777.777777777781</v>
      </c>
      <c r="E7" s="18">
        <f t="shared" si="1"/>
        <v>43675.213675213679</v>
      </c>
      <c r="F7" s="21">
        <f>IF(A7&gt;0,COST!$I$15*(D7+(COST!$I$7-C7)*$I$4*$I$9),0)</f>
        <v>1145644.8478170477</v>
      </c>
      <c r="H7" s="89"/>
      <c r="I7" s="91"/>
      <c r="J7" s="10"/>
    </row>
    <row r="8" spans="1:11" ht="15" thickBot="1" x14ac:dyDescent="0.35">
      <c r="A8" s="48">
        <v>342000</v>
      </c>
      <c r="B8" s="49">
        <v>1.9</v>
      </c>
      <c r="C8" s="50">
        <v>2</v>
      </c>
      <c r="D8" s="26">
        <f t="shared" si="0"/>
        <v>180000</v>
      </c>
      <c r="E8" s="18">
        <f t="shared" si="1"/>
        <v>90000</v>
      </c>
      <c r="F8" s="21">
        <f>IF(A8&gt;0,COST!$I$15*(D8+(COST!$I$7-C8)*$I$4*$I$9),0)</f>
        <v>1884435.3532571034</v>
      </c>
    </row>
    <row r="9" spans="1:11" ht="15" thickBot="1" x14ac:dyDescent="0.35">
      <c r="A9" s="48">
        <v>439082</v>
      </c>
      <c r="B9" s="49">
        <v>6.5</v>
      </c>
      <c r="C9" s="50">
        <v>2</v>
      </c>
      <c r="D9" s="26">
        <f t="shared" si="0"/>
        <v>67551.076923076922</v>
      </c>
      <c r="E9" s="18">
        <f t="shared" si="1"/>
        <v>33775.538461538461</v>
      </c>
      <c r="F9" s="21">
        <f>IF(A9&gt;0,COST!$I$15*(D9+(COST!$I$7-C9)*$I$4*$I$9),0)</f>
        <v>872395.0455647955</v>
      </c>
      <c r="H9" s="17" t="s">
        <v>55</v>
      </c>
      <c r="I9" s="54">
        <v>1</v>
      </c>
    </row>
    <row r="10" spans="1:11" x14ac:dyDescent="0.3">
      <c r="A10" s="48">
        <v>301000</v>
      </c>
      <c r="B10" s="49">
        <v>4.5</v>
      </c>
      <c r="C10" s="50">
        <v>3</v>
      </c>
      <c r="D10" s="26">
        <f t="shared" si="0"/>
        <v>66888.888888888891</v>
      </c>
      <c r="E10" s="18">
        <f t="shared" si="1"/>
        <v>22296.296296296296</v>
      </c>
      <c r="F10" s="21">
        <f>IF(A10&gt;0,COST!$I$15*(D10+(COST!$I$7-C10)*$I$4*$I$9),0)</f>
        <v>337564.64674289682</v>
      </c>
      <c r="H10" s="1"/>
      <c r="I10" s="1"/>
      <c r="K10" s="1"/>
    </row>
    <row r="11" spans="1:11" x14ac:dyDescent="0.3">
      <c r="A11" s="48">
        <v>333024</v>
      </c>
      <c r="B11" s="49">
        <v>4.5</v>
      </c>
      <c r="C11" s="50">
        <v>3</v>
      </c>
      <c r="D11" s="26">
        <f t="shared" si="0"/>
        <v>74005.333333333328</v>
      </c>
      <c r="E11" s="18">
        <f t="shared" si="1"/>
        <v>24668.444444444442</v>
      </c>
      <c r="F11" s="21">
        <f>IF(A11&gt;0,COST!$I$15*(D11+(COST!$I$7-C11)*$I$4*$I$9),0)</f>
        <v>401612.64674289676</v>
      </c>
    </row>
    <row r="12" spans="1:11" x14ac:dyDescent="0.3">
      <c r="A12" s="48">
        <v>317000</v>
      </c>
      <c r="B12" s="49">
        <v>10</v>
      </c>
      <c r="C12" s="50">
        <v>2.5</v>
      </c>
      <c r="D12" s="26">
        <f t="shared" si="0"/>
        <v>31700</v>
      </c>
      <c r="E12" s="18">
        <f t="shared" si="1"/>
        <v>12680</v>
      </c>
      <c r="F12" s="21">
        <f>IF(A12&gt;0,COST!$I$15*(D12+(COST!$I$7-C12)*$I$4*$I$9),0)</f>
        <v>285300</v>
      </c>
    </row>
    <row r="13" spans="1:11" x14ac:dyDescent="0.3">
      <c r="A13" s="48"/>
      <c r="B13" s="49"/>
      <c r="C13" s="50"/>
      <c r="D13" s="26">
        <f t="shared" ref="D13:D52" si="2">IF(ISNUMBER(A13/B13),A13/B13,0)</f>
        <v>0</v>
      </c>
      <c r="E13" s="18">
        <f t="shared" ref="E13:E52" si="3">IF(ISNUMBER(D13/C13),D13/C13,0)</f>
        <v>0</v>
      </c>
      <c r="F13" s="21">
        <f>IF(A13&gt;0,COST!$I$15*(D13+(COST!$I$7-C13)*$I$4*$I$9),0)</f>
        <v>0</v>
      </c>
    </row>
    <row r="14" spans="1:11" x14ac:dyDescent="0.3">
      <c r="A14" s="48"/>
      <c r="B14" s="49"/>
      <c r="C14" s="50"/>
      <c r="D14" s="26">
        <f t="shared" si="2"/>
        <v>0</v>
      </c>
      <c r="E14" s="18">
        <f t="shared" si="3"/>
        <v>0</v>
      </c>
      <c r="F14" s="21">
        <f>IF(A14&gt;0,COST!$I$15*(D14+(COST!$I$7-C14)*$I$4*$I$9),0)</f>
        <v>0</v>
      </c>
    </row>
    <row r="15" spans="1:11" x14ac:dyDescent="0.3">
      <c r="A15" s="48"/>
      <c r="B15" s="49"/>
      <c r="C15" s="50"/>
      <c r="D15" s="26">
        <f t="shared" si="2"/>
        <v>0</v>
      </c>
      <c r="E15" s="18">
        <f t="shared" si="3"/>
        <v>0</v>
      </c>
      <c r="F15" s="21">
        <f>IF(A15&gt;0,COST!$I$15*(D15+(COST!$I$7-C15)*$I$4*$I$9),0)</f>
        <v>0</v>
      </c>
    </row>
    <row r="16" spans="1:11" x14ac:dyDescent="0.3">
      <c r="A16" s="48"/>
      <c r="B16" s="49"/>
      <c r="C16" s="50"/>
      <c r="D16" s="26">
        <f t="shared" si="2"/>
        <v>0</v>
      </c>
      <c r="E16" s="18">
        <f t="shared" si="3"/>
        <v>0</v>
      </c>
      <c r="F16" s="21">
        <f>IF(A16&gt;0,COST!$I$15*(D16+(COST!$I$7-C16)*$I$4*$I$9),0)</f>
        <v>0</v>
      </c>
    </row>
    <row r="17" spans="1:6" x14ac:dyDescent="0.3">
      <c r="A17" s="48"/>
      <c r="B17" s="49"/>
      <c r="C17" s="50"/>
      <c r="D17" s="26">
        <f t="shared" si="2"/>
        <v>0</v>
      </c>
      <c r="E17" s="18">
        <f t="shared" si="3"/>
        <v>0</v>
      </c>
      <c r="F17" s="21">
        <f>IF(A17&gt;0,COST!$I$15*(D17+(COST!$I$7-C17)*$I$4*$I$9),0)</f>
        <v>0</v>
      </c>
    </row>
    <row r="18" spans="1:6" x14ac:dyDescent="0.3">
      <c r="A18" s="48"/>
      <c r="B18" s="49"/>
      <c r="C18" s="50"/>
      <c r="D18" s="26">
        <f t="shared" si="2"/>
        <v>0</v>
      </c>
      <c r="E18" s="18">
        <f t="shared" si="3"/>
        <v>0</v>
      </c>
      <c r="F18" s="21">
        <f>IF(A18&gt;0,COST!$I$15*(D18+(COST!$I$7-C18)*$I$4*$I$9),0)</f>
        <v>0</v>
      </c>
    </row>
    <row r="19" spans="1:6" x14ac:dyDescent="0.3">
      <c r="A19" s="48"/>
      <c r="B19" s="49"/>
      <c r="C19" s="50"/>
      <c r="D19" s="26">
        <f t="shared" si="2"/>
        <v>0</v>
      </c>
      <c r="E19" s="18">
        <f t="shared" si="3"/>
        <v>0</v>
      </c>
      <c r="F19" s="21">
        <f>IF(A19&gt;0,COST!$I$15*(D19+(COST!$I$7-C19)*$I$4*$I$9),0)</f>
        <v>0</v>
      </c>
    </row>
    <row r="20" spans="1:6" x14ac:dyDescent="0.3">
      <c r="A20" s="48"/>
      <c r="B20" s="49"/>
      <c r="C20" s="50"/>
      <c r="D20" s="26">
        <f t="shared" si="2"/>
        <v>0</v>
      </c>
      <c r="E20" s="18">
        <f t="shared" si="3"/>
        <v>0</v>
      </c>
      <c r="F20" s="21">
        <f>IF(A20&gt;0,COST!$I$15*(D20+(COST!$I$7-C20)*$I$4*$I$9),0)</f>
        <v>0</v>
      </c>
    </row>
    <row r="21" spans="1:6" x14ac:dyDescent="0.3">
      <c r="A21" s="48"/>
      <c r="B21" s="49"/>
      <c r="C21" s="50"/>
      <c r="D21" s="26">
        <f t="shared" si="2"/>
        <v>0</v>
      </c>
      <c r="E21" s="18">
        <f t="shared" si="3"/>
        <v>0</v>
      </c>
      <c r="F21" s="21">
        <f>IF(A21&gt;0,COST!$I$15*(D21+(COST!$I$7-C21)*$I$4*$I$9),0)</f>
        <v>0</v>
      </c>
    </row>
    <row r="22" spans="1:6" x14ac:dyDescent="0.3">
      <c r="A22" s="48"/>
      <c r="B22" s="49"/>
      <c r="C22" s="50"/>
      <c r="D22" s="26">
        <f t="shared" si="2"/>
        <v>0</v>
      </c>
      <c r="E22" s="18">
        <f t="shared" si="3"/>
        <v>0</v>
      </c>
      <c r="F22" s="21">
        <f>IF(A22&gt;0,COST!$I$15*(D22+(COST!$I$7-C22)*$I$4*$I$9),0)</f>
        <v>0</v>
      </c>
    </row>
    <row r="23" spans="1:6" x14ac:dyDescent="0.3">
      <c r="A23" s="48"/>
      <c r="B23" s="49"/>
      <c r="C23" s="50"/>
      <c r="D23" s="26">
        <f t="shared" si="2"/>
        <v>0</v>
      </c>
      <c r="E23" s="18">
        <f t="shared" si="3"/>
        <v>0</v>
      </c>
      <c r="F23" s="21">
        <f>IF(A23&gt;0,COST!$I$15*(D23+(COST!$I$7-C23)*$I$4*$I$9),0)</f>
        <v>0</v>
      </c>
    </row>
    <row r="24" spans="1:6" x14ac:dyDescent="0.3">
      <c r="A24" s="48"/>
      <c r="B24" s="49"/>
      <c r="C24" s="50"/>
      <c r="D24" s="26">
        <f t="shared" si="2"/>
        <v>0</v>
      </c>
      <c r="E24" s="18">
        <f t="shared" si="3"/>
        <v>0</v>
      </c>
      <c r="F24" s="21">
        <f>IF(A24&gt;0,COST!$I$15*(D24+(COST!$I$7-C24)*$I$4*$I$9),0)</f>
        <v>0</v>
      </c>
    </row>
    <row r="25" spans="1:6" x14ac:dyDescent="0.3">
      <c r="A25" s="48"/>
      <c r="B25" s="49"/>
      <c r="C25" s="50"/>
      <c r="D25" s="26">
        <f t="shared" si="2"/>
        <v>0</v>
      </c>
      <c r="E25" s="18">
        <f t="shared" si="3"/>
        <v>0</v>
      </c>
      <c r="F25" s="21">
        <f>IF(A25&gt;0,COST!$I$15*(D25+(COST!$I$7-C25)*$I$4*$I$9),0)</f>
        <v>0</v>
      </c>
    </row>
    <row r="26" spans="1:6" x14ac:dyDescent="0.3">
      <c r="A26" s="48"/>
      <c r="B26" s="49"/>
      <c r="C26" s="50"/>
      <c r="D26" s="26">
        <f t="shared" si="2"/>
        <v>0</v>
      </c>
      <c r="E26" s="18">
        <f t="shared" si="3"/>
        <v>0</v>
      </c>
      <c r="F26" s="21">
        <f>IF(A26&gt;0,COST!$I$15*(D26+(COST!$I$7-C26)*$I$4*$I$9),0)</f>
        <v>0</v>
      </c>
    </row>
    <row r="27" spans="1:6" x14ac:dyDescent="0.3">
      <c r="A27" s="48"/>
      <c r="B27" s="49"/>
      <c r="C27" s="50"/>
      <c r="D27" s="26">
        <f t="shared" si="2"/>
        <v>0</v>
      </c>
      <c r="E27" s="18">
        <f t="shared" si="3"/>
        <v>0</v>
      </c>
      <c r="F27" s="21">
        <f>IF(A27&gt;0,COST!$I$15*(D27+(COST!$I$7-C27)*$I$4*$I$9),0)</f>
        <v>0</v>
      </c>
    </row>
    <row r="28" spans="1:6" x14ac:dyDescent="0.3">
      <c r="A28" s="48"/>
      <c r="B28" s="49"/>
      <c r="C28" s="50"/>
      <c r="D28" s="26">
        <f t="shared" si="2"/>
        <v>0</v>
      </c>
      <c r="E28" s="18">
        <f t="shared" si="3"/>
        <v>0</v>
      </c>
      <c r="F28" s="21">
        <f>IF(A28&gt;0,COST!$I$15*(D28+(COST!$I$7-C28)*$I$4*$I$9),0)</f>
        <v>0</v>
      </c>
    </row>
    <row r="29" spans="1:6" x14ac:dyDescent="0.3">
      <c r="A29" s="48"/>
      <c r="B29" s="49"/>
      <c r="C29" s="50"/>
      <c r="D29" s="26">
        <f t="shared" si="2"/>
        <v>0</v>
      </c>
      <c r="E29" s="18">
        <f t="shared" si="3"/>
        <v>0</v>
      </c>
      <c r="F29" s="21">
        <f>IF(A29&gt;0,COST!$I$15*(D29+(COST!$I$7-C29)*$I$4*$I$9),0)</f>
        <v>0</v>
      </c>
    </row>
    <row r="30" spans="1:6" x14ac:dyDescent="0.3">
      <c r="A30" s="48"/>
      <c r="B30" s="49"/>
      <c r="C30" s="50"/>
      <c r="D30" s="26">
        <f t="shared" si="2"/>
        <v>0</v>
      </c>
      <c r="E30" s="18">
        <f t="shared" si="3"/>
        <v>0</v>
      </c>
      <c r="F30" s="21">
        <f>IF(A30&gt;0,COST!$I$15*(D30+(COST!$I$7-C30)*$I$4*$I$9),0)</f>
        <v>0</v>
      </c>
    </row>
    <row r="31" spans="1:6" x14ac:dyDescent="0.3">
      <c r="A31" s="48"/>
      <c r="B31" s="49"/>
      <c r="C31" s="50"/>
      <c r="D31" s="26">
        <f t="shared" si="2"/>
        <v>0</v>
      </c>
      <c r="E31" s="18">
        <f t="shared" si="3"/>
        <v>0</v>
      </c>
      <c r="F31" s="21">
        <f>IF(A31&gt;0,COST!$I$15*(D31+(COST!$I$7-C31)*$I$4*$I$9),0)</f>
        <v>0</v>
      </c>
    </row>
    <row r="32" spans="1:6" x14ac:dyDescent="0.3">
      <c r="A32" s="48"/>
      <c r="B32" s="49"/>
      <c r="C32" s="50"/>
      <c r="D32" s="26">
        <f t="shared" si="2"/>
        <v>0</v>
      </c>
      <c r="E32" s="18">
        <f t="shared" si="3"/>
        <v>0</v>
      </c>
      <c r="F32" s="21">
        <f>IF(A32&gt;0,COST!$I$15*(D32+(COST!$I$7-C32)*$I$4*$I$9),0)</f>
        <v>0</v>
      </c>
    </row>
    <row r="33" spans="1:6" x14ac:dyDescent="0.3">
      <c r="A33" s="48"/>
      <c r="B33" s="49"/>
      <c r="C33" s="50"/>
      <c r="D33" s="26">
        <f t="shared" si="2"/>
        <v>0</v>
      </c>
      <c r="E33" s="18">
        <f t="shared" si="3"/>
        <v>0</v>
      </c>
      <c r="F33" s="21">
        <f>IF(A33&gt;0,COST!$I$15*(D33+(COST!$I$7-C33)*$I$4*$I$9),0)</f>
        <v>0</v>
      </c>
    </row>
    <row r="34" spans="1:6" x14ac:dyDescent="0.3">
      <c r="A34" s="48"/>
      <c r="B34" s="49"/>
      <c r="C34" s="50"/>
      <c r="D34" s="26">
        <f t="shared" si="2"/>
        <v>0</v>
      </c>
      <c r="E34" s="18">
        <f t="shared" si="3"/>
        <v>0</v>
      </c>
      <c r="F34" s="21">
        <f>IF(A34&gt;0,COST!$I$15*(D34+(COST!$I$7-C34)*$I$4*$I$9),0)</f>
        <v>0</v>
      </c>
    </row>
    <row r="35" spans="1:6" x14ac:dyDescent="0.3">
      <c r="A35" s="48"/>
      <c r="B35" s="49"/>
      <c r="C35" s="50"/>
      <c r="D35" s="26">
        <f t="shared" si="2"/>
        <v>0</v>
      </c>
      <c r="E35" s="18">
        <f t="shared" si="3"/>
        <v>0</v>
      </c>
      <c r="F35" s="21">
        <f>IF(A35&gt;0,COST!$I$15*(D35+(COST!$I$7-C35)*$I$4*$I$9),0)</f>
        <v>0</v>
      </c>
    </row>
    <row r="36" spans="1:6" x14ac:dyDescent="0.3">
      <c r="A36" s="48"/>
      <c r="B36" s="49"/>
      <c r="C36" s="50"/>
      <c r="D36" s="26">
        <f t="shared" si="2"/>
        <v>0</v>
      </c>
      <c r="E36" s="18">
        <f t="shared" si="3"/>
        <v>0</v>
      </c>
      <c r="F36" s="21">
        <f>IF(A36&gt;0,COST!$I$15*(D36+(COST!$I$7-C36)*$I$4*$I$9),0)</f>
        <v>0</v>
      </c>
    </row>
    <row r="37" spans="1:6" x14ac:dyDescent="0.3">
      <c r="A37" s="48"/>
      <c r="B37" s="49"/>
      <c r="C37" s="50"/>
      <c r="D37" s="26">
        <f t="shared" si="2"/>
        <v>0</v>
      </c>
      <c r="E37" s="18">
        <f t="shared" si="3"/>
        <v>0</v>
      </c>
      <c r="F37" s="21">
        <f>IF(A37&gt;0,COST!$I$15*(D37+(COST!$I$7-C37)*$I$4*$I$9),0)</f>
        <v>0</v>
      </c>
    </row>
    <row r="38" spans="1:6" x14ac:dyDescent="0.3">
      <c r="A38" s="48"/>
      <c r="B38" s="49"/>
      <c r="C38" s="50"/>
      <c r="D38" s="26">
        <f t="shared" si="2"/>
        <v>0</v>
      </c>
      <c r="E38" s="18">
        <f t="shared" si="3"/>
        <v>0</v>
      </c>
      <c r="F38" s="21">
        <f>IF(A38&gt;0,COST!$I$15*(D38+(COST!$I$7-C38)*$I$4*$I$9),0)</f>
        <v>0</v>
      </c>
    </row>
    <row r="39" spans="1:6" x14ac:dyDescent="0.3">
      <c r="A39" s="48"/>
      <c r="B39" s="49"/>
      <c r="C39" s="50"/>
      <c r="D39" s="26">
        <f t="shared" si="2"/>
        <v>0</v>
      </c>
      <c r="E39" s="18">
        <f t="shared" si="3"/>
        <v>0</v>
      </c>
      <c r="F39" s="21">
        <f>IF(A39&gt;0,COST!$I$15*(D39+(COST!$I$7-C39)*$I$4*$I$9),0)</f>
        <v>0</v>
      </c>
    </row>
    <row r="40" spans="1:6" x14ac:dyDescent="0.3">
      <c r="A40" s="48"/>
      <c r="B40" s="49"/>
      <c r="C40" s="50"/>
      <c r="D40" s="26">
        <f t="shared" si="2"/>
        <v>0</v>
      </c>
      <c r="E40" s="18">
        <f t="shared" si="3"/>
        <v>0</v>
      </c>
      <c r="F40" s="21">
        <f>IF(A40&gt;0,COST!$I$15*(D40+(COST!$I$7-C40)*$I$4*$I$9),0)</f>
        <v>0</v>
      </c>
    </row>
    <row r="41" spans="1:6" x14ac:dyDescent="0.3">
      <c r="A41" s="48"/>
      <c r="B41" s="49"/>
      <c r="C41" s="50"/>
      <c r="D41" s="26">
        <f t="shared" si="2"/>
        <v>0</v>
      </c>
      <c r="E41" s="18">
        <f t="shared" si="3"/>
        <v>0</v>
      </c>
      <c r="F41" s="21">
        <f>IF(A41&gt;0,COST!$I$15*(D41+(COST!$I$7-C41)*$I$4*$I$9),0)</f>
        <v>0</v>
      </c>
    </row>
    <row r="42" spans="1:6" x14ac:dyDescent="0.3">
      <c r="A42" s="48"/>
      <c r="B42" s="49"/>
      <c r="C42" s="50"/>
      <c r="D42" s="26">
        <f t="shared" si="2"/>
        <v>0</v>
      </c>
      <c r="E42" s="18">
        <f t="shared" si="3"/>
        <v>0</v>
      </c>
      <c r="F42" s="21">
        <f>IF(A42&gt;0,COST!$I$15*(D42+(COST!$I$7-C42)*$I$4*$I$9),0)</f>
        <v>0</v>
      </c>
    </row>
    <row r="43" spans="1:6" x14ac:dyDescent="0.3">
      <c r="A43" s="48"/>
      <c r="B43" s="49"/>
      <c r="C43" s="50"/>
      <c r="D43" s="26">
        <f t="shared" si="2"/>
        <v>0</v>
      </c>
      <c r="E43" s="18">
        <f t="shared" si="3"/>
        <v>0</v>
      </c>
      <c r="F43" s="21">
        <f>IF(A43&gt;0,COST!$I$15*(D43+(COST!$I$7-C43)*$I$4*$I$9),0)</f>
        <v>0</v>
      </c>
    </row>
    <row r="44" spans="1:6" x14ac:dyDescent="0.3">
      <c r="A44" s="48"/>
      <c r="B44" s="49"/>
      <c r="C44" s="50"/>
      <c r="D44" s="26">
        <f t="shared" si="2"/>
        <v>0</v>
      </c>
      <c r="E44" s="18">
        <f t="shared" si="3"/>
        <v>0</v>
      </c>
      <c r="F44" s="21">
        <f>IF(A44&gt;0,COST!$I$15*(D44+(COST!$I$7-C44)*$I$4*$I$9),0)</f>
        <v>0</v>
      </c>
    </row>
    <row r="45" spans="1:6" x14ac:dyDescent="0.3">
      <c r="A45" s="48"/>
      <c r="B45" s="49"/>
      <c r="C45" s="50"/>
      <c r="D45" s="26">
        <f t="shared" si="2"/>
        <v>0</v>
      </c>
      <c r="E45" s="18">
        <f t="shared" si="3"/>
        <v>0</v>
      </c>
      <c r="F45" s="21">
        <f>IF(A45&gt;0,COST!$I$15*(D45+(COST!$I$7-C45)*$I$4*$I$9),0)</f>
        <v>0</v>
      </c>
    </row>
    <row r="46" spans="1:6" x14ac:dyDescent="0.3">
      <c r="A46" s="48"/>
      <c r="B46" s="49"/>
      <c r="C46" s="50"/>
      <c r="D46" s="26">
        <f t="shared" si="2"/>
        <v>0</v>
      </c>
      <c r="E46" s="18">
        <f t="shared" si="3"/>
        <v>0</v>
      </c>
      <c r="F46" s="21">
        <f>IF(A46&gt;0,COST!$I$15*(D46+(COST!$I$7-C46)*$I$4*$I$9),0)</f>
        <v>0</v>
      </c>
    </row>
    <row r="47" spans="1:6" x14ac:dyDescent="0.3">
      <c r="A47" s="48"/>
      <c r="B47" s="49"/>
      <c r="C47" s="50"/>
      <c r="D47" s="26">
        <f t="shared" si="2"/>
        <v>0</v>
      </c>
      <c r="E47" s="18">
        <f t="shared" si="3"/>
        <v>0</v>
      </c>
      <c r="F47" s="21">
        <f>IF(A47&gt;0,COST!$I$15*(D47+(COST!$I$7-C47)*$I$4*$I$9),0)</f>
        <v>0</v>
      </c>
    </row>
    <row r="48" spans="1:6" x14ac:dyDescent="0.3">
      <c r="A48" s="48"/>
      <c r="B48" s="49"/>
      <c r="C48" s="50"/>
      <c r="D48" s="26">
        <f t="shared" si="2"/>
        <v>0</v>
      </c>
      <c r="E48" s="18">
        <f t="shared" si="3"/>
        <v>0</v>
      </c>
      <c r="F48" s="21">
        <f>IF(A48&gt;0,COST!$I$15*(D48+(COST!$I$7-C48)*$I$4*$I$9),0)</f>
        <v>0</v>
      </c>
    </row>
    <row r="49" spans="1:6" x14ac:dyDescent="0.3">
      <c r="A49" s="48"/>
      <c r="B49" s="49"/>
      <c r="C49" s="50"/>
      <c r="D49" s="26">
        <f t="shared" si="2"/>
        <v>0</v>
      </c>
      <c r="E49" s="18">
        <f t="shared" si="3"/>
        <v>0</v>
      </c>
      <c r="F49" s="21">
        <f>IF(A49&gt;0,COST!$I$15*(D49+(COST!$I$7-C49)*$I$4*$I$9),0)</f>
        <v>0</v>
      </c>
    </row>
    <row r="50" spans="1:6" x14ac:dyDescent="0.3">
      <c r="A50" s="48"/>
      <c r="B50" s="49"/>
      <c r="C50" s="50"/>
      <c r="D50" s="26">
        <f t="shared" si="2"/>
        <v>0</v>
      </c>
      <c r="E50" s="18">
        <f t="shared" si="3"/>
        <v>0</v>
      </c>
      <c r="F50" s="21">
        <f>IF(A50&gt;0,COST!$I$15*(D50+(COST!$I$7-C50)*$I$4*$I$9),0)</f>
        <v>0</v>
      </c>
    </row>
    <row r="51" spans="1:6" x14ac:dyDescent="0.3">
      <c r="A51" s="48"/>
      <c r="B51" s="49"/>
      <c r="C51" s="50"/>
      <c r="D51" s="26">
        <f t="shared" si="2"/>
        <v>0</v>
      </c>
      <c r="E51" s="18">
        <f t="shared" si="3"/>
        <v>0</v>
      </c>
      <c r="F51" s="21">
        <f>IF(A51&gt;0,COST!$I$15*(D51+(COST!$I$7-C51)*$I$4*$I$9),0)</f>
        <v>0</v>
      </c>
    </row>
    <row r="52" spans="1:6" ht="15" thickBot="1" x14ac:dyDescent="0.35">
      <c r="A52" s="51"/>
      <c r="B52" s="52"/>
      <c r="C52" s="53"/>
      <c r="D52" s="28">
        <f t="shared" si="2"/>
        <v>0</v>
      </c>
      <c r="E52" s="33">
        <f t="shared" si="3"/>
        <v>0</v>
      </c>
      <c r="F52" s="22">
        <f>IF(A52&gt;0,COST!$I$15*(D52+(COST!$I$7-C52)*$I$4*$I$9),0)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A5" activeCellId="1" sqref="I9 A5:C52"/>
    </sheetView>
  </sheetViews>
  <sheetFormatPr defaultColWidth="9.109375" defaultRowHeight="14.4" x14ac:dyDescent="0.3"/>
  <cols>
    <col min="1" max="1" width="16.6640625" customWidth="1"/>
    <col min="2" max="2" width="12.6640625" customWidth="1"/>
    <col min="3" max="3" width="24.5546875" customWidth="1"/>
    <col min="4" max="4" width="18.5546875" customWidth="1"/>
    <col min="5" max="6" width="16.6640625" customWidth="1"/>
    <col min="8" max="8" width="27.5546875" customWidth="1"/>
    <col min="9" max="9" width="11" customWidth="1"/>
    <col min="11" max="11" width="11.109375" bestFit="1" customWidth="1"/>
  </cols>
  <sheetData>
    <row r="1" spans="1:11" ht="15" thickBot="1" x14ac:dyDescent="0.35"/>
    <row r="2" spans="1:11" ht="35.25" customHeight="1" thickBot="1" x14ac:dyDescent="0.35">
      <c r="A2" s="96" t="s">
        <v>38</v>
      </c>
      <c r="B2" s="97"/>
      <c r="C2" s="97"/>
      <c r="D2" s="97"/>
      <c r="E2" s="98"/>
      <c r="F2" s="85" t="s">
        <v>73</v>
      </c>
      <c r="H2" s="92" t="s">
        <v>34</v>
      </c>
      <c r="I2" s="94">
        <f>SUM(D5:D52)/COUNTIF(D5:D52,"&gt;0")</f>
        <v>261869.83990675991</v>
      </c>
      <c r="K2" s="10"/>
    </row>
    <row r="3" spans="1:11" ht="15.75" customHeight="1" thickBot="1" x14ac:dyDescent="0.35">
      <c r="A3" s="79" t="s">
        <v>62</v>
      </c>
      <c r="B3" s="80"/>
      <c r="C3" s="81"/>
      <c r="D3" s="79" t="s">
        <v>63</v>
      </c>
      <c r="E3" s="81"/>
      <c r="F3" s="86"/>
      <c r="H3" s="93"/>
      <c r="I3" s="95"/>
    </row>
    <row r="4" spans="1:11" ht="15" thickBot="1" x14ac:dyDescent="0.35">
      <c r="A4" s="24" t="s">
        <v>23</v>
      </c>
      <c r="B4" s="14" t="s">
        <v>32</v>
      </c>
      <c r="C4" s="25" t="s">
        <v>30</v>
      </c>
      <c r="D4" s="24" t="s">
        <v>33</v>
      </c>
      <c r="E4" s="25" t="s">
        <v>52</v>
      </c>
      <c r="F4" s="87"/>
      <c r="H4" s="92" t="s">
        <v>51</v>
      </c>
      <c r="I4" s="94">
        <f>SUM(E5:E52)/COUNTIF(E5:E52,"&gt;0")</f>
        <v>10107.113870335517</v>
      </c>
      <c r="J4" s="12"/>
      <c r="K4" s="13"/>
    </row>
    <row r="5" spans="1:11" ht="15" thickBot="1" x14ac:dyDescent="0.35">
      <c r="A5" s="48">
        <v>1260000</v>
      </c>
      <c r="B5" s="49">
        <v>10</v>
      </c>
      <c r="C5" s="50">
        <v>24</v>
      </c>
      <c r="D5" s="26">
        <f>IF(ISNUMBER(A5/B5),A5/B5,0)</f>
        <v>126000</v>
      </c>
      <c r="E5" s="18">
        <f>IF(ISNUMBER(D5/C5),D5/C5,0)</f>
        <v>5250</v>
      </c>
      <c r="F5" s="20">
        <f>IF(A5&gt;0,COST!$I$16*(D5+(COST!$I$8-C5)*$I$4*$I$9),0)</f>
        <v>1089873.6811002661</v>
      </c>
      <c r="H5" s="93"/>
      <c r="I5" s="95"/>
      <c r="J5" s="11"/>
    </row>
    <row r="6" spans="1:11" x14ac:dyDescent="0.3">
      <c r="A6" s="48">
        <v>2728000</v>
      </c>
      <c r="B6" s="49">
        <v>10</v>
      </c>
      <c r="C6" s="50">
        <v>27</v>
      </c>
      <c r="D6" s="26">
        <f t="shared" ref="D6:D52" si="0">IF(ISNUMBER(A6/B6),A6/B6,0)</f>
        <v>272800</v>
      </c>
      <c r="E6" s="18">
        <f t="shared" ref="E6:E52" si="1">IF(ISNUMBER(D6/C6),D6/C6,0)</f>
        <v>10103.703703703704</v>
      </c>
      <c r="F6" s="21">
        <f>IF(A6&gt;0,COST!$I$16*(D6+(COST!$I$8-C6)*$I$4*$I$9),0)</f>
        <v>1770811.3332810046</v>
      </c>
      <c r="H6" s="88" t="s">
        <v>54</v>
      </c>
      <c r="I6" s="90">
        <f>SUM(C5:C52)/COUNTIF(C5:C52,"&gt;0")</f>
        <v>37.604545454545452</v>
      </c>
    </row>
    <row r="7" spans="1:11" ht="15" thickBot="1" x14ac:dyDescent="0.35">
      <c r="A7" s="55">
        <v>1571215</v>
      </c>
      <c r="B7" s="49">
        <v>6.5</v>
      </c>
      <c r="C7" s="50">
        <v>14.3</v>
      </c>
      <c r="D7" s="26">
        <f t="shared" si="0"/>
        <v>241725.38461538462</v>
      </c>
      <c r="E7" s="18">
        <f t="shared" si="1"/>
        <v>16903.873050026898</v>
      </c>
      <c r="F7" s="21">
        <f>IF(A7&gt;0,COST!$I$16*(D7+(COST!$I$8-C7)*$I$4*$I$9),0)</f>
        <v>1840068.8621261346</v>
      </c>
      <c r="H7" s="89"/>
      <c r="I7" s="91"/>
      <c r="J7" s="10"/>
    </row>
    <row r="8" spans="1:11" ht="15" thickBot="1" x14ac:dyDescent="0.35">
      <c r="A8" s="48">
        <v>926000</v>
      </c>
      <c r="B8" s="49">
        <v>4</v>
      </c>
      <c r="C8" s="50">
        <v>24</v>
      </c>
      <c r="D8" s="26">
        <f t="shared" si="0"/>
        <v>231500</v>
      </c>
      <c r="E8" s="18">
        <f t="shared" si="1"/>
        <v>9645.8333333333339</v>
      </c>
      <c r="F8" s="21">
        <f>IF(A8&gt;0,COST!$I$16*(D8+(COST!$I$8-C8)*$I$4*$I$9),0)</f>
        <v>1617373.6811002658</v>
      </c>
    </row>
    <row r="9" spans="1:11" ht="15" thickBot="1" x14ac:dyDescent="0.35">
      <c r="A9" s="48">
        <v>440000</v>
      </c>
      <c r="B9" s="49">
        <v>2.5</v>
      </c>
      <c r="C9" s="50">
        <v>6</v>
      </c>
      <c r="D9" s="26">
        <f t="shared" si="0"/>
        <v>176000</v>
      </c>
      <c r="E9" s="18">
        <f t="shared" si="1"/>
        <v>29333.333333333332</v>
      </c>
      <c r="F9" s="21">
        <f>IF(A9&gt;0,COST!$I$16*(D9+(COST!$I$8-C9)*$I$4*$I$9),0)</f>
        <v>1658247.7680158347</v>
      </c>
      <c r="H9" s="17" t="s">
        <v>55</v>
      </c>
      <c r="I9" s="54">
        <v>0.35</v>
      </c>
    </row>
    <row r="10" spans="1:11" x14ac:dyDescent="0.3">
      <c r="A10" s="48">
        <v>620000</v>
      </c>
      <c r="B10" s="49">
        <v>5</v>
      </c>
      <c r="C10" s="50">
        <v>6</v>
      </c>
      <c r="D10" s="26">
        <f t="shared" si="0"/>
        <v>124000</v>
      </c>
      <c r="E10" s="18">
        <f t="shared" si="1"/>
        <v>20666.666666666668</v>
      </c>
      <c r="F10" s="21">
        <f>IF(A10&gt;0,COST!$I$16*(D10+(COST!$I$8-C10)*$I$4*$I$9),0)</f>
        <v>1398247.7680158347</v>
      </c>
      <c r="H10" s="1"/>
      <c r="I10" s="1"/>
      <c r="K10" s="1"/>
    </row>
    <row r="11" spans="1:11" x14ac:dyDescent="0.3">
      <c r="A11" s="48">
        <v>820000</v>
      </c>
      <c r="B11" s="49">
        <v>7.5</v>
      </c>
      <c r="C11" s="50">
        <v>6</v>
      </c>
      <c r="D11" s="26">
        <f t="shared" si="0"/>
        <v>109333.33333333333</v>
      </c>
      <c r="E11" s="18">
        <f t="shared" si="1"/>
        <v>18222.222222222223</v>
      </c>
      <c r="F11" s="21">
        <f>IF(A11&gt;0,COST!$I$16*(D11+(COST!$I$8-C11)*$I$4*$I$9),0)</f>
        <v>1324914.4346825015</v>
      </c>
    </row>
    <row r="12" spans="1:11" x14ac:dyDescent="0.3">
      <c r="A12" s="48">
        <v>1010000</v>
      </c>
      <c r="B12" s="49">
        <v>10</v>
      </c>
      <c r="C12" s="50">
        <v>6</v>
      </c>
      <c r="D12" s="26">
        <f t="shared" si="0"/>
        <v>101000</v>
      </c>
      <c r="E12" s="18">
        <f t="shared" si="1"/>
        <v>16833.333333333332</v>
      </c>
      <c r="F12" s="21">
        <f>IF(A12&gt;0,COST!$I$16*(D12+(COST!$I$8-C12)*$I$4*$I$9),0)</f>
        <v>1283247.768015835</v>
      </c>
    </row>
    <row r="13" spans="1:11" x14ac:dyDescent="0.3">
      <c r="A13" s="48">
        <v>730000</v>
      </c>
      <c r="B13" s="49">
        <v>5</v>
      </c>
      <c r="C13" s="50">
        <v>25</v>
      </c>
      <c r="D13" s="26">
        <f t="shared" si="0"/>
        <v>146000</v>
      </c>
      <c r="E13" s="18">
        <f t="shared" si="1"/>
        <v>5840</v>
      </c>
      <c r="F13" s="21">
        <f>IF(A13&gt;0,COST!$I$16*(D13+(COST!$I$8-C13)*$I$4*$I$9),0)</f>
        <v>1172186.231827179</v>
      </c>
    </row>
    <row r="14" spans="1:11" x14ac:dyDescent="0.3">
      <c r="A14" s="48">
        <v>1200000</v>
      </c>
      <c r="B14" s="49">
        <v>10</v>
      </c>
      <c r="C14" s="50">
        <v>25</v>
      </c>
      <c r="D14" s="26">
        <f t="shared" si="0"/>
        <v>120000</v>
      </c>
      <c r="E14" s="18">
        <f t="shared" si="1"/>
        <v>4800</v>
      </c>
      <c r="F14" s="21">
        <f>IF(A14&gt;0,COST!$I$16*(D14+(COST!$I$8-C14)*$I$4*$I$9),0)</f>
        <v>1042186.2318271789</v>
      </c>
    </row>
    <row r="15" spans="1:11" x14ac:dyDescent="0.3">
      <c r="A15" s="48">
        <v>1680000</v>
      </c>
      <c r="B15" s="49">
        <v>15</v>
      </c>
      <c r="C15" s="50">
        <v>25</v>
      </c>
      <c r="D15" s="26">
        <f t="shared" si="0"/>
        <v>112000</v>
      </c>
      <c r="E15" s="18">
        <f t="shared" si="1"/>
        <v>4480</v>
      </c>
      <c r="F15" s="21">
        <f>IF(A15&gt;0,COST!$I$16*(D15+(COST!$I$8-C15)*$I$4*$I$9),0)</f>
        <v>1002186.2318271789</v>
      </c>
    </row>
    <row r="16" spans="1:11" x14ac:dyDescent="0.3">
      <c r="A16" s="48">
        <v>2150000</v>
      </c>
      <c r="B16" s="49">
        <v>20</v>
      </c>
      <c r="C16" s="50">
        <v>25</v>
      </c>
      <c r="D16" s="26">
        <f t="shared" si="0"/>
        <v>107500</v>
      </c>
      <c r="E16" s="18">
        <f t="shared" si="1"/>
        <v>4300</v>
      </c>
      <c r="F16" s="21">
        <f>IF(A16&gt;0,COST!$I$16*(D16+(COST!$I$8-C16)*$I$4*$I$9),0)</f>
        <v>979686.23182717885</v>
      </c>
    </row>
    <row r="17" spans="1:6" x14ac:dyDescent="0.3">
      <c r="A17" s="48">
        <v>780000</v>
      </c>
      <c r="B17" s="49">
        <v>5</v>
      </c>
      <c r="C17" s="50">
        <v>35</v>
      </c>
      <c r="D17" s="26">
        <f t="shared" si="0"/>
        <v>156000</v>
      </c>
      <c r="E17" s="18">
        <f t="shared" si="1"/>
        <v>4457.1428571428569</v>
      </c>
      <c r="F17" s="21">
        <f>IF(A17&gt;0,COST!$I$16*(D17+(COST!$I$8-C17)*$I$4*$I$9),0)</f>
        <v>1045311.7390963073</v>
      </c>
    </row>
    <row r="18" spans="1:6" x14ac:dyDescent="0.3">
      <c r="A18" s="48">
        <v>1300000</v>
      </c>
      <c r="B18" s="49">
        <v>10</v>
      </c>
      <c r="C18" s="50">
        <v>35</v>
      </c>
      <c r="D18" s="26">
        <f t="shared" si="0"/>
        <v>130000</v>
      </c>
      <c r="E18" s="18">
        <f t="shared" si="1"/>
        <v>3714.2857142857142</v>
      </c>
      <c r="F18" s="21">
        <f>IF(A18&gt;0,COST!$I$16*(D18+(COST!$I$8-C18)*$I$4*$I$9),0)</f>
        <v>915311.73909630731</v>
      </c>
    </row>
    <row r="19" spans="1:6" x14ac:dyDescent="0.3">
      <c r="A19" s="48">
        <v>2840000</v>
      </c>
      <c r="B19" s="49">
        <v>5</v>
      </c>
      <c r="C19" s="50">
        <v>36</v>
      </c>
      <c r="D19" s="26">
        <f t="shared" si="0"/>
        <v>568000</v>
      </c>
      <c r="E19" s="18">
        <f t="shared" si="1"/>
        <v>15777.777777777777</v>
      </c>
      <c r="F19" s="21">
        <f>IF(A19&gt;0,COST!$I$16*(D19+(COST!$I$8-C19)*$I$4*$I$9),0)</f>
        <v>3087624.2898232201</v>
      </c>
    </row>
    <row r="20" spans="1:6" x14ac:dyDescent="0.3">
      <c r="A20" s="48">
        <v>4540000</v>
      </c>
      <c r="B20" s="49">
        <v>10</v>
      </c>
      <c r="C20" s="50">
        <v>36</v>
      </c>
      <c r="D20" s="26">
        <f t="shared" si="0"/>
        <v>454000</v>
      </c>
      <c r="E20" s="18">
        <f t="shared" si="1"/>
        <v>12611.111111111111</v>
      </c>
      <c r="F20" s="21">
        <f>IF(A20&gt;0,COST!$I$16*(D20+(COST!$I$8-C20)*$I$4*$I$9),0)</f>
        <v>2517624.2898232201</v>
      </c>
    </row>
    <row r="21" spans="1:6" x14ac:dyDescent="0.3">
      <c r="A21" s="48">
        <v>5940000</v>
      </c>
      <c r="B21" s="49">
        <v>15</v>
      </c>
      <c r="C21" s="50">
        <v>36</v>
      </c>
      <c r="D21" s="26">
        <f t="shared" si="0"/>
        <v>396000</v>
      </c>
      <c r="E21" s="18">
        <f t="shared" si="1"/>
        <v>11000</v>
      </c>
      <c r="F21" s="21">
        <f>IF(A21&gt;0,COST!$I$16*(D21+(COST!$I$8-C21)*$I$4*$I$9),0)</f>
        <v>2227624.2898232201</v>
      </c>
    </row>
    <row r="22" spans="1:6" x14ac:dyDescent="0.3">
      <c r="A22" s="48">
        <v>7340000</v>
      </c>
      <c r="B22" s="49">
        <v>20</v>
      </c>
      <c r="C22" s="50">
        <v>36</v>
      </c>
      <c r="D22" s="26">
        <f t="shared" si="0"/>
        <v>367000</v>
      </c>
      <c r="E22" s="18">
        <f t="shared" si="1"/>
        <v>10194.444444444445</v>
      </c>
      <c r="F22" s="21">
        <f>IF(A22&gt;0,COST!$I$16*(D22+(COST!$I$8-C22)*$I$4*$I$9),0)</f>
        <v>2082624.2898232201</v>
      </c>
    </row>
    <row r="23" spans="1:6" x14ac:dyDescent="0.3">
      <c r="A23" s="48">
        <v>5890000</v>
      </c>
      <c r="B23" s="49">
        <v>10</v>
      </c>
      <c r="C23" s="50">
        <v>100</v>
      </c>
      <c r="D23" s="26">
        <f t="shared" si="0"/>
        <v>589000</v>
      </c>
      <c r="E23" s="18">
        <f t="shared" si="1"/>
        <v>5890</v>
      </c>
      <c r="F23" s="21">
        <f>IF(A23&gt;0,COST!$I$16*(D23+(COST!$I$8-C23)*$I$4*$I$9),0)</f>
        <v>2060627.5363456423</v>
      </c>
    </row>
    <row r="24" spans="1:6" x14ac:dyDescent="0.3">
      <c r="A24" s="48">
        <v>7740000</v>
      </c>
      <c r="B24" s="49">
        <v>15</v>
      </c>
      <c r="C24" s="50">
        <v>100</v>
      </c>
      <c r="D24" s="26">
        <f t="shared" si="0"/>
        <v>516000</v>
      </c>
      <c r="E24" s="18">
        <f t="shared" si="1"/>
        <v>5160</v>
      </c>
      <c r="F24" s="21">
        <f>IF(A24&gt;0,COST!$I$16*(D24+(COST!$I$8-C24)*$I$4*$I$9),0)</f>
        <v>1695627.5363456423</v>
      </c>
    </row>
    <row r="25" spans="1:6" x14ac:dyDescent="0.3">
      <c r="A25" s="48">
        <v>7590000</v>
      </c>
      <c r="B25" s="49">
        <v>20</v>
      </c>
      <c r="C25" s="50">
        <v>100</v>
      </c>
      <c r="D25" s="26">
        <f t="shared" si="0"/>
        <v>379500</v>
      </c>
      <c r="E25" s="18">
        <f t="shared" si="1"/>
        <v>3795</v>
      </c>
      <c r="F25" s="21">
        <f>IF(A25&gt;0,COST!$I$16*(D25+(COST!$I$8-C25)*$I$4*$I$9),0)</f>
        <v>1013127.5363456423</v>
      </c>
    </row>
    <row r="26" spans="1:6" x14ac:dyDescent="0.3">
      <c r="A26" s="48">
        <v>8444444</v>
      </c>
      <c r="B26" s="49">
        <v>25</v>
      </c>
      <c r="C26" s="50">
        <v>100</v>
      </c>
      <c r="D26" s="26">
        <f t="shared" si="0"/>
        <v>337777.76</v>
      </c>
      <c r="E26" s="18">
        <f t="shared" si="1"/>
        <v>3377.7775999999999</v>
      </c>
      <c r="F26" s="21">
        <f>IF(A26&gt;0,COST!$I$16*(D26+(COST!$I$8-C26)*$I$4*$I$9),0)</f>
        <v>804516.33634564234</v>
      </c>
    </row>
    <row r="27" spans="1:6" x14ac:dyDescent="0.3">
      <c r="A27" s="48"/>
      <c r="B27" s="49"/>
      <c r="C27" s="50"/>
      <c r="D27" s="26">
        <f t="shared" si="0"/>
        <v>0</v>
      </c>
      <c r="E27" s="18">
        <f t="shared" si="1"/>
        <v>0</v>
      </c>
      <c r="F27" s="21">
        <f>IF(A27&gt;0,COST!$I$16*(D27+(COST!$I$8-C27)*$I$4*$I$9),0)</f>
        <v>0</v>
      </c>
    </row>
    <row r="28" spans="1:6" x14ac:dyDescent="0.3">
      <c r="A28" s="48"/>
      <c r="B28" s="49"/>
      <c r="C28" s="50"/>
      <c r="D28" s="26">
        <f t="shared" si="0"/>
        <v>0</v>
      </c>
      <c r="E28" s="18">
        <f t="shared" si="1"/>
        <v>0</v>
      </c>
      <c r="F28" s="21">
        <f>IF(A28&gt;0,COST!$I$16*(D28+(COST!$I$8-C28)*$I$4*$I$9),0)</f>
        <v>0</v>
      </c>
    </row>
    <row r="29" spans="1:6" x14ac:dyDescent="0.3">
      <c r="A29" s="48"/>
      <c r="B29" s="49"/>
      <c r="C29" s="50"/>
      <c r="D29" s="26">
        <f t="shared" si="0"/>
        <v>0</v>
      </c>
      <c r="E29" s="18">
        <f t="shared" si="1"/>
        <v>0</v>
      </c>
      <c r="F29" s="21">
        <f>IF(A29&gt;0,COST!$I$16*(D29+(COST!$I$8-C29)*$I$4*$I$9),0)</f>
        <v>0</v>
      </c>
    </row>
    <row r="30" spans="1:6" x14ac:dyDescent="0.3">
      <c r="A30" s="48"/>
      <c r="B30" s="49"/>
      <c r="C30" s="50"/>
      <c r="D30" s="26">
        <f t="shared" si="0"/>
        <v>0</v>
      </c>
      <c r="E30" s="18">
        <f t="shared" si="1"/>
        <v>0</v>
      </c>
      <c r="F30" s="21">
        <f>IF(A30&gt;0,COST!$I$16*(D30+(COST!$I$8-C30)*$I$4*$I$9),0)</f>
        <v>0</v>
      </c>
    </row>
    <row r="31" spans="1:6" x14ac:dyDescent="0.3">
      <c r="A31" s="48"/>
      <c r="B31" s="49"/>
      <c r="C31" s="50"/>
      <c r="D31" s="26">
        <f t="shared" si="0"/>
        <v>0</v>
      </c>
      <c r="E31" s="18">
        <f t="shared" si="1"/>
        <v>0</v>
      </c>
      <c r="F31" s="21">
        <f>IF(A31&gt;0,COST!$I$16*(D31+(COST!$I$8-C31)*$I$4*$I$9),0)</f>
        <v>0</v>
      </c>
    </row>
    <row r="32" spans="1:6" x14ac:dyDescent="0.3">
      <c r="A32" s="48"/>
      <c r="B32" s="49"/>
      <c r="C32" s="50"/>
      <c r="D32" s="26">
        <f t="shared" si="0"/>
        <v>0</v>
      </c>
      <c r="E32" s="18">
        <f t="shared" si="1"/>
        <v>0</v>
      </c>
      <c r="F32" s="21">
        <f>IF(A32&gt;0,COST!$I$16*(D32+(COST!$I$8-C32)*$I$4*$I$9),0)</f>
        <v>0</v>
      </c>
    </row>
    <row r="33" spans="1:6" x14ac:dyDescent="0.3">
      <c r="A33" s="48"/>
      <c r="B33" s="49"/>
      <c r="C33" s="50"/>
      <c r="D33" s="26">
        <f t="shared" si="0"/>
        <v>0</v>
      </c>
      <c r="E33" s="18">
        <f t="shared" si="1"/>
        <v>0</v>
      </c>
      <c r="F33" s="21">
        <f>IF(A33&gt;0,COST!$I$16*(D33+(COST!$I$8-C33)*$I$4*$I$9),0)</f>
        <v>0</v>
      </c>
    </row>
    <row r="34" spans="1:6" x14ac:dyDescent="0.3">
      <c r="A34" s="48"/>
      <c r="B34" s="49"/>
      <c r="C34" s="50"/>
      <c r="D34" s="26">
        <f t="shared" si="0"/>
        <v>0</v>
      </c>
      <c r="E34" s="18">
        <f t="shared" si="1"/>
        <v>0</v>
      </c>
      <c r="F34" s="21">
        <f>IF(A34&gt;0,COST!$I$16*(D34+(COST!$I$8-C34)*$I$4*$I$9),0)</f>
        <v>0</v>
      </c>
    </row>
    <row r="35" spans="1:6" x14ac:dyDescent="0.3">
      <c r="A35" s="48"/>
      <c r="B35" s="49"/>
      <c r="C35" s="50"/>
      <c r="D35" s="26">
        <f t="shared" si="0"/>
        <v>0</v>
      </c>
      <c r="E35" s="18">
        <f t="shared" si="1"/>
        <v>0</v>
      </c>
      <c r="F35" s="21">
        <f>IF(A35&gt;0,COST!$I$16*(D35+(COST!$I$8-C35)*$I$4*$I$9),0)</f>
        <v>0</v>
      </c>
    </row>
    <row r="36" spans="1:6" x14ac:dyDescent="0.3">
      <c r="A36" s="48"/>
      <c r="B36" s="49"/>
      <c r="C36" s="50"/>
      <c r="D36" s="26">
        <f t="shared" si="0"/>
        <v>0</v>
      </c>
      <c r="E36" s="18">
        <f t="shared" si="1"/>
        <v>0</v>
      </c>
      <c r="F36" s="21">
        <f>IF(A36&gt;0,COST!$I$16*(D36+(COST!$I$8-C36)*$I$4*$I$9),0)</f>
        <v>0</v>
      </c>
    </row>
    <row r="37" spans="1:6" x14ac:dyDescent="0.3">
      <c r="A37" s="48"/>
      <c r="B37" s="49"/>
      <c r="C37" s="50"/>
      <c r="D37" s="26">
        <f t="shared" si="0"/>
        <v>0</v>
      </c>
      <c r="E37" s="18">
        <f t="shared" si="1"/>
        <v>0</v>
      </c>
      <c r="F37" s="21">
        <f>IF(A37&gt;0,COST!$I$16*(D37+(COST!$I$8-C37)*$I$4*$I$9),0)</f>
        <v>0</v>
      </c>
    </row>
    <row r="38" spans="1:6" x14ac:dyDescent="0.3">
      <c r="A38" s="48"/>
      <c r="B38" s="49"/>
      <c r="C38" s="50"/>
      <c r="D38" s="26">
        <f t="shared" si="0"/>
        <v>0</v>
      </c>
      <c r="E38" s="18">
        <f t="shared" si="1"/>
        <v>0</v>
      </c>
      <c r="F38" s="21">
        <f>IF(A38&gt;0,COST!$I$16*(D38+(COST!$I$8-C38)*$I$4*$I$9),0)</f>
        <v>0</v>
      </c>
    </row>
    <row r="39" spans="1:6" x14ac:dyDescent="0.3">
      <c r="A39" s="48"/>
      <c r="B39" s="49"/>
      <c r="C39" s="50"/>
      <c r="D39" s="26">
        <f t="shared" si="0"/>
        <v>0</v>
      </c>
      <c r="E39" s="18">
        <f t="shared" si="1"/>
        <v>0</v>
      </c>
      <c r="F39" s="21">
        <f>IF(A39&gt;0,COST!$I$16*(D39+(COST!$I$8-C39)*$I$4*$I$9),0)</f>
        <v>0</v>
      </c>
    </row>
    <row r="40" spans="1:6" x14ac:dyDescent="0.3">
      <c r="A40" s="48"/>
      <c r="B40" s="49"/>
      <c r="C40" s="50"/>
      <c r="D40" s="26">
        <f t="shared" si="0"/>
        <v>0</v>
      </c>
      <c r="E40" s="18">
        <f t="shared" si="1"/>
        <v>0</v>
      </c>
      <c r="F40" s="21">
        <f>IF(A40&gt;0,COST!$I$16*(D40+(COST!$I$8-C40)*$I$4*$I$9),0)</f>
        <v>0</v>
      </c>
    </row>
    <row r="41" spans="1:6" x14ac:dyDescent="0.3">
      <c r="A41" s="48"/>
      <c r="B41" s="49"/>
      <c r="C41" s="50"/>
      <c r="D41" s="26">
        <f t="shared" si="0"/>
        <v>0</v>
      </c>
      <c r="E41" s="18">
        <f t="shared" si="1"/>
        <v>0</v>
      </c>
      <c r="F41" s="21">
        <f>IF(A41&gt;0,COST!$I$16*(D41+(COST!$I$8-C41)*$I$4*$I$9),0)</f>
        <v>0</v>
      </c>
    </row>
    <row r="42" spans="1:6" x14ac:dyDescent="0.3">
      <c r="A42" s="48"/>
      <c r="B42" s="49"/>
      <c r="C42" s="50"/>
      <c r="D42" s="26">
        <f t="shared" si="0"/>
        <v>0</v>
      </c>
      <c r="E42" s="18">
        <f t="shared" si="1"/>
        <v>0</v>
      </c>
      <c r="F42" s="21">
        <f>IF(A42&gt;0,COST!$I$16*(D42+(COST!$I$8-C42)*$I$4*$I$9),0)</f>
        <v>0</v>
      </c>
    </row>
    <row r="43" spans="1:6" x14ac:dyDescent="0.3">
      <c r="A43" s="48"/>
      <c r="B43" s="49"/>
      <c r="C43" s="50"/>
      <c r="D43" s="26">
        <f t="shared" si="0"/>
        <v>0</v>
      </c>
      <c r="E43" s="18">
        <f t="shared" si="1"/>
        <v>0</v>
      </c>
      <c r="F43" s="21">
        <f>IF(A43&gt;0,COST!$I$16*(D43+(COST!$I$8-C43)*$I$4*$I$9),0)</f>
        <v>0</v>
      </c>
    </row>
    <row r="44" spans="1:6" x14ac:dyDescent="0.3">
      <c r="A44" s="48"/>
      <c r="B44" s="49"/>
      <c r="C44" s="50"/>
      <c r="D44" s="26">
        <f t="shared" si="0"/>
        <v>0</v>
      </c>
      <c r="E44" s="18">
        <f t="shared" si="1"/>
        <v>0</v>
      </c>
      <c r="F44" s="21">
        <f>IF(A44&gt;0,COST!$I$16*(D44+(COST!$I$8-C44)*$I$4*$I$9),0)</f>
        <v>0</v>
      </c>
    </row>
    <row r="45" spans="1:6" x14ac:dyDescent="0.3">
      <c r="A45" s="48"/>
      <c r="B45" s="49"/>
      <c r="C45" s="50"/>
      <c r="D45" s="26">
        <f t="shared" si="0"/>
        <v>0</v>
      </c>
      <c r="E45" s="18">
        <f t="shared" si="1"/>
        <v>0</v>
      </c>
      <c r="F45" s="21">
        <f>IF(A45&gt;0,COST!$I$16*(D45+(COST!$I$8-C45)*$I$4*$I$9),0)</f>
        <v>0</v>
      </c>
    </row>
    <row r="46" spans="1:6" x14ac:dyDescent="0.3">
      <c r="A46" s="48"/>
      <c r="B46" s="49"/>
      <c r="C46" s="50"/>
      <c r="D46" s="26">
        <f t="shared" si="0"/>
        <v>0</v>
      </c>
      <c r="E46" s="18">
        <f t="shared" si="1"/>
        <v>0</v>
      </c>
      <c r="F46" s="21">
        <f>IF(A46&gt;0,COST!$I$16*(D46+(COST!$I$8-C46)*$I$4*$I$9),0)</f>
        <v>0</v>
      </c>
    </row>
    <row r="47" spans="1:6" x14ac:dyDescent="0.3">
      <c r="A47" s="48"/>
      <c r="B47" s="49"/>
      <c r="C47" s="50"/>
      <c r="D47" s="26">
        <f t="shared" si="0"/>
        <v>0</v>
      </c>
      <c r="E47" s="18">
        <f t="shared" si="1"/>
        <v>0</v>
      </c>
      <c r="F47" s="21">
        <f>IF(A47&gt;0,COST!$I$16*(D47+(COST!$I$8-C47)*$I$4*$I$9),0)</f>
        <v>0</v>
      </c>
    </row>
    <row r="48" spans="1:6" x14ac:dyDescent="0.3">
      <c r="A48" s="48"/>
      <c r="B48" s="49"/>
      <c r="C48" s="50"/>
      <c r="D48" s="26">
        <f t="shared" si="0"/>
        <v>0</v>
      </c>
      <c r="E48" s="18">
        <f t="shared" si="1"/>
        <v>0</v>
      </c>
      <c r="F48" s="21">
        <f>IF(A48&gt;0,COST!$I$16*(D48+(COST!$I$8-C48)*$I$4*$I$9),0)</f>
        <v>0</v>
      </c>
    </row>
    <row r="49" spans="1:6" x14ac:dyDescent="0.3">
      <c r="A49" s="48"/>
      <c r="B49" s="49"/>
      <c r="C49" s="50"/>
      <c r="D49" s="26">
        <f t="shared" si="0"/>
        <v>0</v>
      </c>
      <c r="E49" s="18">
        <f t="shared" si="1"/>
        <v>0</v>
      </c>
      <c r="F49" s="21">
        <f>IF(A49&gt;0,COST!$I$16*(D49+(COST!$I$8-C49)*$I$4*$I$9),0)</f>
        <v>0</v>
      </c>
    </row>
    <row r="50" spans="1:6" x14ac:dyDescent="0.3">
      <c r="A50" s="48"/>
      <c r="B50" s="49"/>
      <c r="C50" s="50"/>
      <c r="D50" s="26">
        <f t="shared" si="0"/>
        <v>0</v>
      </c>
      <c r="E50" s="18">
        <f t="shared" si="1"/>
        <v>0</v>
      </c>
      <c r="F50" s="21">
        <f>IF(A50&gt;0,COST!$I$16*(D50+(COST!$I$8-C50)*$I$4*$I$9),0)</f>
        <v>0</v>
      </c>
    </row>
    <row r="51" spans="1:6" x14ac:dyDescent="0.3">
      <c r="A51" s="48"/>
      <c r="B51" s="49"/>
      <c r="C51" s="50"/>
      <c r="D51" s="26">
        <f t="shared" si="0"/>
        <v>0</v>
      </c>
      <c r="E51" s="18">
        <f t="shared" si="1"/>
        <v>0</v>
      </c>
      <c r="F51" s="21">
        <f>IF(A51&gt;0,COST!$I$16*(D51+(COST!$I$8-C51)*$I$4*$I$9),0)</f>
        <v>0</v>
      </c>
    </row>
    <row r="52" spans="1:6" ht="15" thickBot="1" x14ac:dyDescent="0.35">
      <c r="A52" s="51"/>
      <c r="B52" s="52"/>
      <c r="C52" s="53"/>
      <c r="D52" s="28">
        <f t="shared" si="0"/>
        <v>0</v>
      </c>
      <c r="E52" s="33">
        <f t="shared" si="1"/>
        <v>0</v>
      </c>
      <c r="F52" s="22">
        <f>IF(A52&gt;0,COST!$I$16*(D52+(COST!$I$8-C52)*$I$4*$I$9),0)</f>
        <v>0</v>
      </c>
    </row>
  </sheetData>
  <sheetProtection sheet="1" objects="1" scenarios="1"/>
  <mergeCells count="10">
    <mergeCell ref="I6:I7"/>
    <mergeCell ref="H2:H3"/>
    <mergeCell ref="I2:I3"/>
    <mergeCell ref="H4:H5"/>
    <mergeCell ref="I4:I5"/>
    <mergeCell ref="F2:F4"/>
    <mergeCell ref="A2:E2"/>
    <mergeCell ref="A3:C3"/>
    <mergeCell ref="D3:E3"/>
    <mergeCell ref="H6:H7"/>
  </mergeCells>
  <pageMargins left="0.7" right="0.7" top="0.75" bottom="0.75" header="0.3" footer="0.3"/>
  <pageSetup orientation="portrait" r:id="rId1"/>
  <headerFooter>
    <oddHeader>&amp;C&amp;"Verdana"&amp;10 Classification: Internal Purpose&amp;1#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COST</vt:lpstr>
      <vt:lpstr>BOX PLOTS</vt:lpstr>
      <vt:lpstr>Crane Pads</vt:lpstr>
      <vt:lpstr>Foundations</vt:lpstr>
      <vt:lpstr>Substation-civil</vt:lpstr>
      <vt:lpstr>Road Construction</vt:lpstr>
      <vt:lpstr>Road Upgrade</vt:lpstr>
      <vt:lpstr>Cabling to substation</vt:lpstr>
      <vt:lpstr>Cabling to grid</vt:lpstr>
      <vt:lpstr>Point of connection</vt:lpstr>
      <vt:lpstr>SCADA</vt:lpstr>
      <vt:lpstr>Substation-electrical</vt:lpstr>
      <vt:lpstr>Transformers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Miceli, Francesco</cp:lastModifiedBy>
  <dcterms:created xsi:type="dcterms:W3CDTF">2012-02-27T14:35:12Z</dcterms:created>
  <dcterms:modified xsi:type="dcterms:W3CDTF">2019-08-15T08:15:43Z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7c4d0-7f4d-470f-a7e6-7da20d81509c_Enabled">
    <vt:lpwstr>True</vt:lpwstr>
  </property>
  <property fmtid="{D5CDD505-2E9C-101B-9397-08002B2CF9AE}" pid="3" name="MSIP_Label_97c7c4d0-7f4d-470f-a7e6-7da20d81509c_SiteId">
    <vt:lpwstr>040d9c77-e8cc-4af3-9c44-1d24173c45b3</vt:lpwstr>
  </property>
  <property fmtid="{D5CDD505-2E9C-101B-9397-08002B2CF9AE}" pid="4" name="MSIP_Label_97c7c4d0-7f4d-470f-a7e6-7da20d81509c_Owner">
    <vt:lpwstr>MiceliF@NORDEX-AG.COM</vt:lpwstr>
  </property>
  <property fmtid="{D5CDD505-2E9C-101B-9397-08002B2CF9AE}" pid="5" name="MSIP_Label_97c7c4d0-7f4d-470f-a7e6-7da20d81509c_SetDate">
    <vt:lpwstr>2019-08-15T08:15:32.8823999Z</vt:lpwstr>
  </property>
  <property fmtid="{D5CDD505-2E9C-101B-9397-08002B2CF9AE}" pid="6" name="MSIP_Label_97c7c4d0-7f4d-470f-a7e6-7da20d81509c_Name">
    <vt:lpwstr>Internal Purpose</vt:lpwstr>
  </property>
  <property fmtid="{D5CDD505-2E9C-101B-9397-08002B2CF9AE}" pid="7" name="MSIP_Label_97c7c4d0-7f4d-470f-a7e6-7da20d81509c_Application">
    <vt:lpwstr>Microsoft Azure Information Protection</vt:lpwstr>
  </property>
  <property fmtid="{D5CDD505-2E9C-101B-9397-08002B2CF9AE}" pid="8" name="MSIP_Label_97c7c4d0-7f4d-470f-a7e6-7da20d81509c_Extended_MSFT_Method">
    <vt:lpwstr>Automatic</vt:lpwstr>
  </property>
  <property fmtid="{D5CDD505-2E9C-101B-9397-08002B2CF9AE}" pid="9" name="Sensitivity">
    <vt:lpwstr>Internal Purpose</vt:lpwstr>
  </property>
</Properties>
</file>